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JoseAntonio/Documents/Proyectos 2018/CIDES GAMLP/Plan de Clases Final/CLASES/DOCS CLASES/"/>
    </mc:Choice>
  </mc:AlternateContent>
  <xr:revisionPtr revIDLastSave="0" documentId="13_ncr:1_{217F7F7B-DE22-FA4C-8F02-85EE7ED42040}" xr6:coauthVersionLast="34" xr6:coauthVersionMax="34" xr10:uidLastSave="{00000000-0000-0000-0000-000000000000}"/>
  <bookViews>
    <workbookView xWindow="12180" yWindow="8140" windowWidth="21980" windowHeight="17600" tabRatio="500" xr2:uid="{00000000-000D-0000-FFFF-FFFF00000000}"/>
  </bookViews>
  <sheets>
    <sheet name="Ventas" sheetId="1" r:id="rId1"/>
    <sheet name="Depreciación" sheetId="2" r:id="rId2"/>
    <sheet name="Est Resultados" sheetId="3" r:id="rId3"/>
    <sheet name="Cap Trabajo Neto" sheetId="4" r:id="rId4"/>
    <sheet name="Efectivo Por Partes" sheetId="5" r:id="rId5"/>
    <sheet name="Efectivo Total" sheetId="6" r:id="rId6"/>
    <sheet name="Prestamo" sheetId="7" r:id="rId7"/>
    <sheet name="Est Res Pres" sheetId="9" r:id="rId8"/>
    <sheet name="ET con Prestamo" sheetId="8" r:id="rId9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2" l="1"/>
  <c r="D10" i="3"/>
  <c r="E10" i="3"/>
  <c r="F5" i="5" s="1"/>
  <c r="F6" i="5" s="1"/>
  <c r="F10" i="3"/>
  <c r="G5" i="5" s="1"/>
  <c r="G6" i="5" s="1"/>
  <c r="G10" i="3"/>
  <c r="H10" i="3"/>
  <c r="I10" i="3"/>
  <c r="J5" i="5" s="1"/>
  <c r="J6" i="5" s="1"/>
  <c r="B10" i="3"/>
  <c r="E7" i="8"/>
  <c r="F7" i="8"/>
  <c r="G7" i="8"/>
  <c r="H7" i="8"/>
  <c r="I7" i="8"/>
  <c r="J7" i="8"/>
  <c r="E5" i="8"/>
  <c r="F5" i="8"/>
  <c r="G5" i="8"/>
  <c r="H5" i="8"/>
  <c r="I5" i="8"/>
  <c r="J5" i="8"/>
  <c r="C5" i="8"/>
  <c r="E3" i="8"/>
  <c r="F3" i="8"/>
  <c r="G3" i="8"/>
  <c r="H3" i="8"/>
  <c r="I3" i="8"/>
  <c r="J3" i="8"/>
  <c r="E4" i="8"/>
  <c r="F4" i="8"/>
  <c r="G4" i="8"/>
  <c r="H4" i="8"/>
  <c r="I4" i="8"/>
  <c r="J4" i="8"/>
  <c r="D6" i="8"/>
  <c r="E6" i="8"/>
  <c r="F6" i="8"/>
  <c r="G6" i="8"/>
  <c r="H6" i="8"/>
  <c r="I6" i="8"/>
  <c r="J6" i="8"/>
  <c r="C6" i="8"/>
  <c r="C4" i="8"/>
  <c r="C3" i="8"/>
  <c r="D11" i="9"/>
  <c r="E11" i="9"/>
  <c r="F11" i="9"/>
  <c r="G11" i="9"/>
  <c r="H11" i="9"/>
  <c r="I11" i="9"/>
  <c r="B11" i="9"/>
  <c r="D10" i="9"/>
  <c r="E10" i="9"/>
  <c r="F10" i="9"/>
  <c r="G10" i="9"/>
  <c r="H10" i="9"/>
  <c r="I10" i="9"/>
  <c r="B10" i="9"/>
  <c r="D9" i="9"/>
  <c r="C9" i="9"/>
  <c r="B9" i="9"/>
  <c r="I8" i="9"/>
  <c r="H8" i="9"/>
  <c r="G8" i="9"/>
  <c r="F8" i="9"/>
  <c r="E8" i="9"/>
  <c r="D8" i="9"/>
  <c r="B8" i="9"/>
  <c r="I4" i="9"/>
  <c r="I6" i="9" s="1"/>
  <c r="H4" i="9"/>
  <c r="H6" i="9" s="1"/>
  <c r="G4" i="9"/>
  <c r="G6" i="9" s="1"/>
  <c r="F4" i="9"/>
  <c r="F6" i="9" s="1"/>
  <c r="E4" i="9"/>
  <c r="E6" i="9" s="1"/>
  <c r="D4" i="9"/>
  <c r="D6" i="9" s="1"/>
  <c r="C4" i="9"/>
  <c r="C6" i="9" s="1"/>
  <c r="B4" i="9"/>
  <c r="B6" i="9" s="1"/>
  <c r="I3" i="9"/>
  <c r="I5" i="9" s="1"/>
  <c r="H3" i="9"/>
  <c r="H5" i="9" s="1"/>
  <c r="G3" i="9"/>
  <c r="G5" i="9" s="1"/>
  <c r="F3" i="9"/>
  <c r="F5" i="9" s="1"/>
  <c r="E3" i="9"/>
  <c r="E5" i="9" s="1"/>
  <c r="D3" i="9"/>
  <c r="D5" i="9" s="1"/>
  <c r="C3" i="9"/>
  <c r="C5" i="9" s="1"/>
  <c r="B3" i="9"/>
  <c r="B5" i="9" s="1"/>
  <c r="E5" i="5"/>
  <c r="H5" i="5"/>
  <c r="I5" i="5"/>
  <c r="C5" i="5"/>
  <c r="E6" i="5"/>
  <c r="H6" i="5"/>
  <c r="I6" i="5"/>
  <c r="C6" i="5"/>
  <c r="G12" i="9" l="1"/>
  <c r="B12" i="9"/>
  <c r="F12" i="9"/>
  <c r="D12" i="9"/>
  <c r="H12" i="9"/>
  <c r="E12" i="9"/>
  <c r="I12" i="9"/>
  <c r="G57" i="2"/>
  <c r="G53" i="2"/>
  <c r="C64" i="2"/>
  <c r="C54" i="2" s="1"/>
  <c r="C65" i="2"/>
  <c r="C61" i="2" s="1"/>
  <c r="D53" i="2"/>
  <c r="F53" i="2" s="1"/>
  <c r="E4" i="2"/>
  <c r="E8" i="2"/>
  <c r="C31" i="2"/>
  <c r="C15" i="2"/>
  <c r="E5" i="2" s="1"/>
  <c r="B5" i="2"/>
  <c r="B6" i="2"/>
  <c r="C6" i="2" s="1"/>
  <c r="B7" i="2"/>
  <c r="C7" i="2" s="1"/>
  <c r="B9" i="2"/>
  <c r="B10" i="2"/>
  <c r="C10" i="2" s="1"/>
  <c r="B3" i="2"/>
  <c r="C14" i="2"/>
  <c r="B4" i="2" s="1"/>
  <c r="C4" i="2" s="1"/>
  <c r="C9" i="2"/>
  <c r="C5" i="2"/>
  <c r="D36" i="2"/>
  <c r="L35" i="2"/>
  <c r="M35" i="2" s="1"/>
  <c r="K35" i="2"/>
  <c r="M34" i="2"/>
  <c r="L34" i="2"/>
  <c r="K34" i="2"/>
  <c r="L33" i="2"/>
  <c r="M33" i="2" s="1"/>
  <c r="K33" i="2"/>
  <c r="L32" i="2"/>
  <c r="M32" i="2" s="1"/>
  <c r="K32" i="2"/>
  <c r="L31" i="2"/>
  <c r="M31" i="2" s="1"/>
  <c r="K31" i="2"/>
  <c r="L29" i="2"/>
  <c r="M29" i="2" s="1"/>
  <c r="K29" i="2"/>
  <c r="L28" i="2"/>
  <c r="M28" i="2" s="1"/>
  <c r="K28" i="2"/>
  <c r="L27" i="2"/>
  <c r="M27" i="2" s="1"/>
  <c r="K27" i="2"/>
  <c r="L26" i="2"/>
  <c r="M26" i="2" s="1"/>
  <c r="K26" i="2"/>
  <c r="L25" i="2"/>
  <c r="M25" i="2" s="1"/>
  <c r="K25" i="2"/>
  <c r="L24" i="2"/>
  <c r="M24" i="2" s="1"/>
  <c r="K24" i="2"/>
  <c r="L23" i="2"/>
  <c r="M23" i="2" s="1"/>
  <c r="K23" i="2"/>
  <c r="L22" i="2"/>
  <c r="M22" i="2" s="1"/>
  <c r="K22" i="2"/>
  <c r="L21" i="2"/>
  <c r="M21" i="2" s="1"/>
  <c r="K21" i="2"/>
  <c r="L20" i="2"/>
  <c r="M20" i="2" s="1"/>
  <c r="K20" i="2"/>
  <c r="L19" i="2"/>
  <c r="M19" i="2" s="1"/>
  <c r="K19" i="2"/>
  <c r="L18" i="2"/>
  <c r="M18" i="2" s="1"/>
  <c r="K18" i="2"/>
  <c r="L17" i="2"/>
  <c r="M17" i="2" s="1"/>
  <c r="K17" i="2"/>
  <c r="L16" i="2"/>
  <c r="M16" i="2" s="1"/>
  <c r="K16" i="2"/>
  <c r="L14" i="2"/>
  <c r="M14" i="2" s="1"/>
  <c r="K14" i="2"/>
  <c r="L13" i="2"/>
  <c r="M13" i="2" s="1"/>
  <c r="K13" i="2"/>
  <c r="L12" i="2"/>
  <c r="M12" i="2" s="1"/>
  <c r="K12" i="2"/>
  <c r="L11" i="2"/>
  <c r="M11" i="2" s="1"/>
  <c r="K11" i="2"/>
  <c r="L10" i="2"/>
  <c r="M10" i="2" s="1"/>
  <c r="K10" i="2"/>
  <c r="L9" i="2"/>
  <c r="M9" i="2" s="1"/>
  <c r="K9" i="2"/>
  <c r="L8" i="2"/>
  <c r="M8" i="2" s="1"/>
  <c r="K8" i="2"/>
  <c r="L7" i="2"/>
  <c r="M7" i="2" s="1"/>
  <c r="K7" i="2"/>
  <c r="L6" i="2"/>
  <c r="M6" i="2" s="1"/>
  <c r="K6" i="2"/>
  <c r="L5" i="2"/>
  <c r="M5" i="2" s="1"/>
  <c r="K5" i="2"/>
  <c r="L4" i="2"/>
  <c r="M4" i="2" s="1"/>
  <c r="K4" i="2"/>
  <c r="L3" i="2"/>
  <c r="M3" i="2" s="1"/>
  <c r="K3" i="2"/>
  <c r="E3" i="2" l="1"/>
  <c r="E7" i="2"/>
  <c r="B53" i="2"/>
  <c r="B57" i="2"/>
  <c r="C53" i="2"/>
  <c r="C56" i="2"/>
  <c r="G60" i="2"/>
  <c r="G56" i="2"/>
  <c r="B8" i="2"/>
  <c r="C8" i="2" s="1"/>
  <c r="E10" i="2"/>
  <c r="E6" i="2"/>
  <c r="B60" i="2"/>
  <c r="B56" i="2"/>
  <c r="C55" i="2"/>
  <c r="G59" i="2"/>
  <c r="G55" i="2"/>
  <c r="B58" i="2"/>
  <c r="B54" i="2"/>
  <c r="C57" i="2"/>
  <c r="E9" i="2"/>
  <c r="B59" i="2"/>
  <c r="B55" i="2"/>
  <c r="G58" i="2"/>
  <c r="G54" i="2"/>
  <c r="G61" i="2" s="1"/>
  <c r="C3" i="2"/>
  <c r="C48" i="2"/>
  <c r="C20" i="2"/>
  <c r="C8" i="9" s="1"/>
  <c r="C22" i="2"/>
  <c r="B26" i="2"/>
  <c r="C26" i="2" s="1"/>
  <c r="B25" i="2"/>
  <c r="C25" i="2" s="1"/>
  <c r="B22" i="2"/>
  <c r="B21" i="2"/>
  <c r="C21" i="2" s="1"/>
  <c r="B19" i="2"/>
  <c r="C19" i="2" s="1"/>
  <c r="C30" i="2"/>
  <c r="B23" i="2" s="1"/>
  <c r="C23" i="2" s="1"/>
  <c r="C10" i="9" l="1"/>
  <c r="D4" i="8"/>
  <c r="E53" i="2"/>
  <c r="E54" i="2" s="1"/>
  <c r="C58" i="2"/>
  <c r="G37" i="2"/>
  <c r="G41" i="2"/>
  <c r="E22" i="2"/>
  <c r="E26" i="2"/>
  <c r="G40" i="2"/>
  <c r="C47" i="2"/>
  <c r="E21" i="2"/>
  <c r="E25" i="2"/>
  <c r="G38" i="2"/>
  <c r="G42" i="2"/>
  <c r="E23" i="2"/>
  <c r="E19" i="2"/>
  <c r="G36" i="2"/>
  <c r="G39" i="2"/>
  <c r="G43" i="2"/>
  <c r="E20" i="2"/>
  <c r="E24" i="2"/>
  <c r="B11" i="2"/>
  <c r="E11" i="2"/>
  <c r="D54" i="2"/>
  <c r="B24" i="2"/>
  <c r="C24" i="2" s="1"/>
  <c r="C11" i="2"/>
  <c r="D3" i="2"/>
  <c r="D4" i="2" s="1"/>
  <c r="D5" i="2" s="1"/>
  <c r="D6" i="2" s="1"/>
  <c r="D7" i="2" s="1"/>
  <c r="D8" i="2" s="1"/>
  <c r="D9" i="2" s="1"/>
  <c r="D10" i="2" s="1"/>
  <c r="F17" i="8"/>
  <c r="G17" i="8"/>
  <c r="H17" i="8"/>
  <c r="I17" i="8"/>
  <c r="B14" i="8"/>
  <c r="B17" i="8" s="1"/>
  <c r="B3" i="7"/>
  <c r="B2" i="6"/>
  <c r="I4" i="6"/>
  <c r="J14" i="5"/>
  <c r="J15" i="5"/>
  <c r="J4" i="6" s="1"/>
  <c r="C15" i="5"/>
  <c r="C4" i="6" s="1"/>
  <c r="D15" i="5"/>
  <c r="D4" i="6" s="1"/>
  <c r="E15" i="5"/>
  <c r="E4" i="6" s="1"/>
  <c r="F15" i="5"/>
  <c r="F4" i="6" s="1"/>
  <c r="G15" i="5"/>
  <c r="G4" i="6" s="1"/>
  <c r="H15" i="5"/>
  <c r="H4" i="6" s="1"/>
  <c r="I15" i="5"/>
  <c r="B15" i="5"/>
  <c r="B4" i="6" s="1"/>
  <c r="B8" i="5"/>
  <c r="B11" i="5" s="1"/>
  <c r="B3" i="6" s="1"/>
  <c r="D2" i="4"/>
  <c r="B9" i="8" s="1"/>
  <c r="B12" i="8" s="1"/>
  <c r="B19" i="8" s="1"/>
  <c r="B3" i="4"/>
  <c r="C3" i="4" s="1"/>
  <c r="D3" i="4" s="1"/>
  <c r="C9" i="5" s="1"/>
  <c r="C11" i="5" s="1"/>
  <c r="C3" i="6" s="1"/>
  <c r="I8" i="3"/>
  <c r="G8" i="3"/>
  <c r="C8" i="3"/>
  <c r="E6" i="3"/>
  <c r="I5" i="3"/>
  <c r="I4" i="3"/>
  <c r="I6" i="3" s="1"/>
  <c r="H4" i="3"/>
  <c r="H6" i="3" s="1"/>
  <c r="G4" i="3"/>
  <c r="G6" i="3" s="1"/>
  <c r="F4" i="3"/>
  <c r="F6" i="3" s="1"/>
  <c r="E4" i="3"/>
  <c r="D4" i="3"/>
  <c r="D6" i="3" s="1"/>
  <c r="C4" i="3"/>
  <c r="C6" i="3" s="1"/>
  <c r="B4" i="3"/>
  <c r="B6" i="3" s="1"/>
  <c r="I3" i="3"/>
  <c r="H3" i="3"/>
  <c r="H5" i="3" s="1"/>
  <c r="G3" i="3"/>
  <c r="G5" i="3" s="1"/>
  <c r="F3" i="3"/>
  <c r="F5" i="3" s="1"/>
  <c r="E3" i="3"/>
  <c r="E5" i="3" s="1"/>
  <c r="D3" i="3"/>
  <c r="D5" i="3" s="1"/>
  <c r="C3" i="3"/>
  <c r="C5" i="3" s="1"/>
  <c r="C9" i="3" s="1"/>
  <c r="C10" i="3" s="1"/>
  <c r="D5" i="5" s="1"/>
  <c r="B3" i="3"/>
  <c r="B5" i="3" s="1"/>
  <c r="D8" i="3"/>
  <c r="E8" i="3"/>
  <c r="F8" i="3"/>
  <c r="H8" i="3"/>
  <c r="B8" i="3"/>
  <c r="B27" i="2"/>
  <c r="D3" i="1"/>
  <c r="B4" i="4" s="1"/>
  <c r="C4" i="4" s="1"/>
  <c r="D4" i="4" s="1"/>
  <c r="D4" i="1"/>
  <c r="B5" i="4" s="1"/>
  <c r="C5" i="4" s="1"/>
  <c r="D5" i="1"/>
  <c r="B6" i="4" s="1"/>
  <c r="C6" i="4" s="1"/>
  <c r="D6" i="1"/>
  <c r="B7" i="4" s="1"/>
  <c r="C7" i="4" s="1"/>
  <c r="D7" i="1"/>
  <c r="B8" i="4" s="1"/>
  <c r="C8" i="4" s="1"/>
  <c r="D8" i="1"/>
  <c r="B9" i="4" s="1"/>
  <c r="C9" i="4" s="1"/>
  <c r="D9" i="1"/>
  <c r="B10" i="4" s="1"/>
  <c r="C10" i="4" s="1"/>
  <c r="D2" i="1"/>
  <c r="D3" i="8" l="1"/>
  <c r="C11" i="9"/>
  <c r="D5" i="8" s="1"/>
  <c r="J15" i="8"/>
  <c r="J17" i="8" s="1"/>
  <c r="B37" i="2"/>
  <c r="B41" i="2"/>
  <c r="B38" i="2"/>
  <c r="B42" i="2"/>
  <c r="D47" i="2"/>
  <c r="B39" i="2"/>
  <c r="B43" i="2"/>
  <c r="B40" i="2"/>
  <c r="B36" i="2"/>
  <c r="C36" i="2" s="1"/>
  <c r="G44" i="2"/>
  <c r="F54" i="2"/>
  <c r="D55" i="2"/>
  <c r="E27" i="2"/>
  <c r="E55" i="2"/>
  <c r="F9" i="3"/>
  <c r="I4" i="5"/>
  <c r="E9" i="3"/>
  <c r="G9" i="3"/>
  <c r="H4" i="5"/>
  <c r="H9" i="3"/>
  <c r="E4" i="5"/>
  <c r="D9" i="3"/>
  <c r="G3" i="5"/>
  <c r="D10" i="8"/>
  <c r="D12" i="8" s="1"/>
  <c r="D9" i="5"/>
  <c r="D11" i="5" s="1"/>
  <c r="D3" i="6" s="1"/>
  <c r="J10" i="5"/>
  <c r="J11" i="8"/>
  <c r="D6" i="4"/>
  <c r="C4" i="5"/>
  <c r="G4" i="5"/>
  <c r="B9" i="3"/>
  <c r="I9" i="3"/>
  <c r="D5" i="4"/>
  <c r="F4" i="5"/>
  <c r="C11" i="3"/>
  <c r="D3" i="5"/>
  <c r="D6" i="5" s="1"/>
  <c r="C27" i="2"/>
  <c r="D4" i="5"/>
  <c r="C10" i="8"/>
  <c r="C12" i="8" s="1"/>
  <c r="D19" i="2"/>
  <c r="D20" i="2" s="1"/>
  <c r="D21" i="2" s="1"/>
  <c r="D22" i="2" s="1"/>
  <c r="D23" i="2" s="1"/>
  <c r="D24" i="2" s="1"/>
  <c r="D25" i="2" s="1"/>
  <c r="D26" i="2" s="1"/>
  <c r="B5" i="6"/>
  <c r="J4" i="5"/>
  <c r="I3" i="5"/>
  <c r="E9" i="7"/>
  <c r="B6" i="7"/>
  <c r="C12" i="9" l="1"/>
  <c r="D7" i="8"/>
  <c r="F55" i="2"/>
  <c r="D56" i="2"/>
  <c r="E56" i="2"/>
  <c r="E57" i="2" s="1"/>
  <c r="H11" i="3"/>
  <c r="H3" i="5"/>
  <c r="G11" i="3"/>
  <c r="E11" i="3"/>
  <c r="E3" i="5"/>
  <c r="D11" i="3"/>
  <c r="F3" i="5"/>
  <c r="B10" i="7"/>
  <c r="B11" i="7"/>
  <c r="B12" i="7"/>
  <c r="I2" i="6"/>
  <c r="F10" i="8"/>
  <c r="F12" i="8" s="1"/>
  <c r="F9" i="5"/>
  <c r="F11" i="5" s="1"/>
  <c r="F3" i="6" s="1"/>
  <c r="G2" i="6"/>
  <c r="D7" i="4"/>
  <c r="E10" i="8"/>
  <c r="E12" i="8" s="1"/>
  <c r="E9" i="5"/>
  <c r="E11" i="5" s="1"/>
  <c r="E3" i="6" s="1"/>
  <c r="D10" i="7"/>
  <c r="J3" i="5"/>
  <c r="F11" i="3"/>
  <c r="H2" i="6"/>
  <c r="D2" i="6"/>
  <c r="D5" i="6" s="1"/>
  <c r="B11" i="3"/>
  <c r="C3" i="5"/>
  <c r="D57" i="2" l="1"/>
  <c r="F56" i="2"/>
  <c r="E58" i="2"/>
  <c r="F19" i="8"/>
  <c r="E2" i="6"/>
  <c r="E5" i="6" s="1"/>
  <c r="F2" i="6"/>
  <c r="F5" i="6" s="1"/>
  <c r="G9" i="5"/>
  <c r="G11" i="5" s="1"/>
  <c r="G3" i="6" s="1"/>
  <c r="G5" i="6" s="1"/>
  <c r="G10" i="8"/>
  <c r="G12" i="8" s="1"/>
  <c r="G19" i="8" s="1"/>
  <c r="D8" i="4"/>
  <c r="J2" i="6"/>
  <c r="C10" i="7"/>
  <c r="C2" i="6"/>
  <c r="C5" i="6" s="1"/>
  <c r="C7" i="8"/>
  <c r="I11" i="3"/>
  <c r="F57" i="2" l="1"/>
  <c r="D58" i="2"/>
  <c r="E59" i="2"/>
  <c r="C16" i="8"/>
  <c r="C17" i="8" s="1"/>
  <c r="C19" i="8" s="1"/>
  <c r="E10" i="7"/>
  <c r="H10" i="8"/>
  <c r="H12" i="8" s="1"/>
  <c r="H19" i="8" s="1"/>
  <c r="H9" i="5"/>
  <c r="H11" i="5" s="1"/>
  <c r="H3" i="6" s="1"/>
  <c r="H5" i="6" s="1"/>
  <c r="D9" i="4"/>
  <c r="B10" i="6"/>
  <c r="F58" i="2" l="1"/>
  <c r="D59" i="2"/>
  <c r="D60" i="2" s="1"/>
  <c r="D11" i="7"/>
  <c r="I9" i="5"/>
  <c r="I11" i="5" s="1"/>
  <c r="I3" i="6" s="1"/>
  <c r="I5" i="6" s="1"/>
  <c r="I10" i="8"/>
  <c r="I12" i="8" s="1"/>
  <c r="I19" i="8" s="1"/>
  <c r="D10" i="4"/>
  <c r="E60" i="2" l="1"/>
  <c r="J10" i="8"/>
  <c r="J12" i="8" s="1"/>
  <c r="J19" i="8" s="1"/>
  <c r="J9" i="5"/>
  <c r="J11" i="5" s="1"/>
  <c r="J3" i="6" s="1"/>
  <c r="J5" i="6" s="1"/>
  <c r="B8" i="6" s="1"/>
  <c r="C11" i="7"/>
  <c r="B9" i="6" l="1"/>
  <c r="D16" i="8"/>
  <c r="D17" i="8" s="1"/>
  <c r="D19" i="8" s="1"/>
  <c r="E11" i="7"/>
  <c r="D12" i="7" l="1"/>
  <c r="C12" i="7" l="1"/>
  <c r="E16" i="8" l="1"/>
  <c r="E17" i="8" s="1"/>
  <c r="E12" i="7"/>
  <c r="E19" i="8"/>
  <c r="B23" i="8" l="1"/>
  <c r="B22" i="8"/>
  <c r="F36" i="2"/>
  <c r="D37" i="2"/>
  <c r="C37" i="2" s="1"/>
  <c r="E36" i="2"/>
  <c r="F37" i="2" l="1"/>
  <c r="D38" i="2" l="1"/>
  <c r="C38" i="2" s="1"/>
  <c r="E37" i="2"/>
  <c r="E38" i="2" s="1"/>
  <c r="D39" i="2"/>
  <c r="C39" i="2" s="1"/>
  <c r="F38" i="2"/>
  <c r="F39" i="2" l="1"/>
  <c r="D40" i="2"/>
  <c r="C40" i="2" s="1"/>
  <c r="F40" i="2" l="1"/>
  <c r="D41" i="2"/>
  <c r="C41" i="2" s="1"/>
  <c r="E39" i="2"/>
  <c r="D42" i="2" l="1"/>
  <c r="C42" i="2" s="1"/>
  <c r="E40" i="2"/>
  <c r="E41" i="2" s="1"/>
  <c r="E42" i="2" l="1"/>
  <c r="F41" i="2"/>
  <c r="D43" i="2" l="1"/>
  <c r="C43" i="2" s="1"/>
  <c r="F42" i="2"/>
  <c r="F43" i="2" l="1"/>
  <c r="C44" i="2" l="1"/>
  <c r="E43" i="2"/>
</calcChain>
</file>

<file path=xl/sharedStrings.xml><?xml version="1.0" encoding="utf-8"?>
<sst xmlns="http://schemas.openxmlformats.org/spreadsheetml/2006/main" count="200" uniqueCount="112">
  <si>
    <t xml:space="preserve">Año </t>
  </si>
  <si>
    <t>Ventas (Unidades)</t>
  </si>
  <si>
    <t>Precio ($)</t>
  </si>
  <si>
    <t>Ingresos ($)</t>
  </si>
  <si>
    <t>Año</t>
  </si>
  <si>
    <t>% Depreciación</t>
  </si>
  <si>
    <t>Depreciación</t>
  </si>
  <si>
    <t>Valor Final en libros</t>
  </si>
  <si>
    <t>Precio</t>
  </si>
  <si>
    <t>Unidades Vendidas</t>
  </si>
  <si>
    <t>Ingresos</t>
  </si>
  <si>
    <t>Costos Variables</t>
  </si>
  <si>
    <t>Costos Fijos</t>
  </si>
  <si>
    <t>Utilidades Antes de Impuestos</t>
  </si>
  <si>
    <t>Utilidad Neta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</si>
  <si>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</si>
  <si>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</si>
  <si>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</si>
  <si>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</si>
  <si>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</si>
  <si>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</si>
  <si>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</si>
  <si>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</si>
  <si>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Cap Trab. Neto</t>
  </si>
  <si>
    <t>Flujo Efectivo</t>
  </si>
  <si>
    <t>I. Flujo de Efectivo Operativo</t>
  </si>
  <si>
    <t>UAII</t>
  </si>
  <si>
    <t>UAI</t>
  </si>
  <si>
    <t>Impuestos</t>
  </si>
  <si>
    <t>II. Capital de Trabajo Neto</t>
  </si>
  <si>
    <t>CTN Inicial</t>
  </si>
  <si>
    <t>Cambio en CTN</t>
  </si>
  <si>
    <t>Recuperación CTN</t>
  </si>
  <si>
    <t>III. Gastos de Capital</t>
  </si>
  <si>
    <t>Desembolso Inicial</t>
  </si>
  <si>
    <t>Valor de Rescate Después de Impuestos</t>
  </si>
  <si>
    <t>Año 0</t>
  </si>
  <si>
    <t>Flujo de Efectivo Operarivo</t>
  </si>
  <si>
    <t>Flujo de Efectivo CTN</t>
  </si>
  <si>
    <t>Flujo de Efectivo Gastos Capital</t>
  </si>
  <si>
    <t>Flujo de Efectivo del Proyecto</t>
  </si>
  <si>
    <t>VPN (15%)</t>
  </si>
  <si>
    <t>TIR</t>
  </si>
  <si>
    <t xml:space="preserve">PRI </t>
  </si>
  <si>
    <t>Parámetros</t>
  </si>
  <si>
    <t>Préstamo</t>
  </si>
  <si>
    <t>Tasa anual</t>
  </si>
  <si>
    <t>EA</t>
  </si>
  <si>
    <t># de periodos para pagar el préstamo</t>
  </si>
  <si>
    <t>años</t>
  </si>
  <si>
    <t>Periodo</t>
  </si>
  <si>
    <t>Cuota</t>
  </si>
  <si>
    <t>Abono a capital</t>
  </si>
  <si>
    <t>interés</t>
  </si>
  <si>
    <t>saldo</t>
  </si>
  <si>
    <t>Intereses</t>
  </si>
  <si>
    <t>Abono  al Capital</t>
  </si>
  <si>
    <t>Flujo de Efectivo del Proyecto con Financiamiento</t>
  </si>
  <si>
    <t>Impuestos (35%)</t>
  </si>
  <si>
    <t>Factor Depreciación</t>
  </si>
  <si>
    <t>Método de la suma de los años</t>
  </si>
  <si>
    <t>Valor Residual</t>
  </si>
  <si>
    <t>Acumulada</t>
  </si>
  <si>
    <t>Cuadro de depreciaciones del activo fijo según normativa vigente</t>
  </si>
  <si>
    <t>Bienes</t>
  </si>
  <si>
    <t>Años de vida útil</t>
  </si>
  <si>
    <t>Coeficiente anual</t>
  </si>
  <si>
    <t>Meses de vida útil</t>
  </si>
  <si>
    <t>Coeficiente mensual</t>
  </si>
  <si>
    <t>Edificaciones</t>
  </si>
  <si>
    <t>Muebles y enseres de oficina</t>
  </si>
  <si>
    <t>Maquinaria en general</t>
  </si>
  <si>
    <t>Equipos e instalaciones</t>
  </si>
  <si>
    <t>Barcos y lanchas en general</t>
  </si>
  <si>
    <t>Vehículos automotores</t>
  </si>
  <si>
    <t>Aviones</t>
  </si>
  <si>
    <t>Maquinaria para la construcción</t>
  </si>
  <si>
    <t>Maquinaria agrícola</t>
  </si>
  <si>
    <t>Animales de trabajo</t>
  </si>
  <si>
    <t>Herramientas en general</t>
  </si>
  <si>
    <t>Reproductores y hembras de pedigree o puros por cruza</t>
  </si>
  <si>
    <t>Equipos de computación</t>
  </si>
  <si>
    <t>Canales de regadío y pozos</t>
  </si>
  <si>
    <t>Estanques, bañaderos y abrevaderos</t>
  </si>
  <si>
    <t>Alambrados, tranqueras y vallas</t>
  </si>
  <si>
    <t>Viviendas para el personal</t>
  </si>
  <si>
    <t>Muebles y enseres en las viviendas para el personal</t>
  </si>
  <si>
    <t>Silos, almacenes y galpones</t>
  </si>
  <si>
    <t>Tinglados y cobertizos de madera</t>
  </si>
  <si>
    <t>Tinglados y cobertizos de metal</t>
  </si>
  <si>
    <t>Instalaciones de electrificación y telefonía rurales</t>
  </si>
  <si>
    <t>Caminos interiores</t>
  </si>
  <si>
    <t>Caña de azúcar</t>
  </si>
  <si>
    <t>Vides</t>
  </si>
  <si>
    <t>Frutales</t>
  </si>
  <si>
    <t>Otras plantaciones según experiencia del contribuyente</t>
  </si>
  <si>
    <t>Pozos petroleros (ver inciso II del Art. 18 del reglamento)</t>
  </si>
  <si>
    <t>Líneas de recolección de la industria petrolera</t>
  </si>
  <si>
    <t>Equipos de campo de la industria petrolera</t>
  </si>
  <si>
    <t>Plantas de procesamiento de la industria petrolera</t>
  </si>
  <si>
    <t>Ductos de la industria petrolera</t>
  </si>
  <si>
    <t>Valor en libros</t>
  </si>
  <si>
    <t>Valor sin Depreciar</t>
  </si>
  <si>
    <t>Método de la línea recta</t>
  </si>
  <si>
    <t>Valor del Activo</t>
  </si>
  <si>
    <t>EXCEL SNL</t>
  </si>
  <si>
    <t>EXCEL SYD</t>
  </si>
  <si>
    <t>EXCEL DDB</t>
  </si>
  <si>
    <t>EXCEL DB</t>
  </si>
  <si>
    <t>Método de reducción de saldo doble</t>
  </si>
  <si>
    <t xml:space="preserve">Método de reducción de saldo fijo </t>
  </si>
  <si>
    <t>Interes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</si>
</sst>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  <numFmt numFmtId="167" formatCode="0.0000%"/>
    <numFmt numFmtId="168" formatCode="&quot;$&quot;\ #,##0.00_);[Red]\(&quot;$&quot;\ #,##0.00\)"/>
    <numFmt numFmtId="169" formatCode="0.00000%"/>
  </numFmts>
  <fonts count="6">
    <font>
      <sz val="12"/>
      <color theme="1"/>
      <name val="CenturyGothic"/>
      <family val="2"/>
    </font>
    <font>
      <sz val="12"/>
      <color theme="1"/>
      <name val="CenturyGothic"/>
      <family val="2"/>
    </font>
    <font>
      <b/>
      <sz val="12"/>
      <color theme="1"/>
      <name val="CenturyGothic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enturyGothic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38" fontId="0" fillId="0" borderId="0" xfId="1" applyNumberFormat="1" applyFont="1"/>
    <xf numFmtId="43" fontId="2" fillId="0" borderId="0" xfId="1" applyFont="1"/>
    <xf numFmtId="165" fontId="0" fillId="0" borderId="0" xfId="0" applyNumberFormat="1"/>
    <xf numFmtId="165" fontId="2" fillId="0" borderId="0" xfId="0" applyNumberFormat="1" applyFont="1"/>
    <xf numFmtId="165" fontId="2" fillId="0" borderId="0" xfId="1" applyNumberFormat="1" applyFont="1"/>
    <xf numFmtId="165" fontId="0" fillId="0" borderId="0" xfId="1" applyNumberFormat="1" applyFont="1"/>
    <xf numFmtId="165" fontId="0" fillId="2" borderId="0" xfId="0" applyNumberFormat="1" applyFill="1"/>
    <xf numFmtId="165" fontId="0" fillId="2" borderId="0" xfId="1" applyNumberFormat="1" applyFont="1" applyFill="1"/>
    <xf numFmtId="165" fontId="0" fillId="0" borderId="0" xfId="0" applyNumberFormat="1" applyFont="1"/>
    <xf numFmtId="165" fontId="2" fillId="2" borderId="0" xfId="0" applyNumberFormat="1" applyFont="1" applyFill="1"/>
    <xf numFmtId="165" fontId="1" fillId="0" borderId="0" xfId="1" applyNumberFormat="1" applyFont="1"/>
    <xf numFmtId="165" fontId="2" fillId="0" borderId="0" xfId="0" applyNumberFormat="1" applyFont="1" applyAlignment="1">
      <alignment horizontal="right"/>
    </xf>
    <xf numFmtId="166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7" fontId="3" fillId="0" borderId="0" xfId="2" applyNumberFormat="1" applyFont="1"/>
    <xf numFmtId="168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0" fontId="2" fillId="0" borderId="0" xfId="2" applyNumberFormat="1" applyFont="1"/>
    <xf numFmtId="0" fontId="4" fillId="0" borderId="0" xfId="0" applyFont="1" applyAlignment="1">
      <alignment horizont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10" fontId="0" fillId="0" borderId="6" xfId="2" applyNumberFormat="1" applyFont="1" applyBorder="1"/>
    <xf numFmtId="169" fontId="0" fillId="0" borderId="7" xfId="2" applyNumberFormat="1" applyFont="1" applyBorder="1"/>
    <xf numFmtId="0" fontId="0" fillId="0" borderId="8" xfId="0" applyBorder="1"/>
    <xf numFmtId="0" fontId="0" fillId="0" borderId="9" xfId="0" applyBorder="1"/>
    <xf numFmtId="10" fontId="0" fillId="0" borderId="9" xfId="2" applyNumberFormat="1" applyFont="1" applyBorder="1"/>
    <xf numFmtId="169" fontId="0" fillId="0" borderId="10" xfId="2" applyNumberFormat="1" applyFont="1" applyBorder="1"/>
    <xf numFmtId="164" fontId="0" fillId="0" borderId="0" xfId="0" applyNumberFormat="1" applyAlignment="1">
      <alignment wrapText="1"/>
    </xf>
    <xf numFmtId="0" fontId="4" fillId="3" borderId="0" xfId="0" applyFont="1" applyFill="1"/>
    <xf numFmtId="0" fontId="0" fillId="3" borderId="0" xfId="0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164" fontId="4" fillId="0" borderId="0" xfId="1" applyNumberFormat="1" applyFont="1"/>
    <xf numFmtId="165" fontId="4" fillId="0" borderId="0" xfId="0" applyNumberFormat="1" applyFont="1"/>
    <xf numFmtId="165" fontId="4" fillId="0" borderId="0" xfId="1" applyNumberFormat="1" applyFont="1"/>
    <xf numFmtId="165" fontId="4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317500</xdr:colOff>
      <xdr:row>46</xdr:row>
      <xdr:rowOff>50800</xdr:rowOff>
    </xdr:from>
    <xdr:to>
      <xdr:col>7</xdr:col>
      <xdr:colOff>1066800</xdr:colOff>
      <xdr:row>47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EF7DB-DE6A-CD45-8E41-CE9D41D8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6100" y="9525000"/>
          <a:ext cx="44196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254000</xdr:colOff>
      <xdr:row>17</xdr:row>
      <xdr:rowOff>190500</xdr:rowOff>
    </xdr:from>
    <xdr:to>
      <xdr:col>7</xdr:col>
      <xdr:colOff>1041400</xdr:colOff>
      <xdr:row>20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C6D726-7B51-A041-84E0-40BBAD18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8300" y="3771900"/>
          <a:ext cx="33020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1524000</xdr:colOff>
      <xdr:row>28</xdr:row>
      <xdr:rowOff>139700</xdr:rowOff>
    </xdr:from>
    <xdr:to>
      <xdr:col>5</xdr:col>
      <xdr:colOff>1206500</xdr:colOff>
      <xdr:row>30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EFCB18-0477-D44B-9358-674B17DCD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100" y="5956300"/>
          <a:ext cx="24257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B14" sqref="B14"/>
    </sheetView>
  </sheetViews>
  <sheetFormatPr baseColWidth="10" defaultRowHeight="16"/>
  <cols>
    <col min="2" max="2" width="16.5703125" customWidth="1"/>
  </cols>
  <sheetData>
    <row r="1" spans="1:4">
      <c r="A1" s="29" t="s">
        <v>0</v>
      </c>
      <c r="B1" s="29" t="s">
        <v>1</v>
      </c>
      <c r="C1" s="29" t="s">
        <v>2</v>
      </c>
      <c r="D1" s="29" t="s">
        <v>3</v>
      </c>
    </row>
    <row r="2" spans="1:4">
      <c r="A2">
        <v>1</v>
      </c>
      <c r="B2" s="2">
        <v>3000</v>
      </c>
      <c r="C2">
        <v>120</v>
      </c>
      <c r="D2" s="3">
        <f>+C2*B2</f>
        <v>360000</v>
      </c>
    </row>
    <row r="3" spans="1:4">
      <c r="A3">
        <v>2</v>
      </c>
      <c r="B3" s="2">
        <v>5000</v>
      </c>
      <c r="C3">
        <v>120</v>
      </c>
      <c r="D3" s="3">
        <f t="shared" ref="D3:D9" si="0">+C3*B3</f>
        <v>600000</v>
      </c>
    </row>
    <row r="4" spans="1:4">
      <c r="A4">
        <v>3</v>
      </c>
      <c r="B4" s="2">
        <v>6000</v>
      </c>
      <c r="C4">
        <v>120</v>
      </c>
      <c r="D4" s="3">
        <f t="shared" si="0"/>
        <v>720000</v>
      </c>
    </row>
    <row r="5" spans="1:4">
      <c r="A5">
        <v>4</v>
      </c>
      <c r="B5" s="2">
        <v>6500</v>
      </c>
      <c r="C5">
        <v>110</v>
      </c>
      <c r="D5" s="3">
        <f t="shared" si="0"/>
        <v>715000</v>
      </c>
    </row>
    <row r="6" spans="1:4">
      <c r="A6">
        <v>5</v>
      </c>
      <c r="B6" s="2">
        <v>6000</v>
      </c>
      <c r="C6">
        <v>110</v>
      </c>
      <c r="D6" s="3">
        <f t="shared" si="0"/>
        <v>660000</v>
      </c>
    </row>
    <row r="7" spans="1:4">
      <c r="A7">
        <v>6</v>
      </c>
      <c r="B7" s="2">
        <v>5000</v>
      </c>
      <c r="C7">
        <v>110</v>
      </c>
      <c r="D7" s="3">
        <f t="shared" si="0"/>
        <v>550000</v>
      </c>
    </row>
    <row r="8" spans="1:4">
      <c r="A8">
        <v>7</v>
      </c>
      <c r="B8" s="2">
        <v>4000</v>
      </c>
      <c r="C8">
        <v>110</v>
      </c>
      <c r="D8" s="3">
        <f t="shared" si="0"/>
        <v>440000</v>
      </c>
    </row>
    <row r="9" spans="1:4">
      <c r="A9">
        <v>8</v>
      </c>
      <c r="B9" s="2">
        <v>3000</v>
      </c>
      <c r="C9">
        <v>110</v>
      </c>
      <c r="D9" s="3">
        <f t="shared" si="0"/>
        <v>330000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workbookViewId="0">
      <selection activeCell="C53" sqref="C53"/>
    </sheetView>
  </sheetViews>
  <sheetFormatPr baseColWidth="10" defaultRowHeight="16"/>
  <cols>
    <col min="1" max="1" width="6.140625" customWidth="1"/>
    <col min="2" max="4" width="17.85546875" customWidth="1"/>
    <col min="5" max="5" width="13" customWidth="1"/>
    <col min="6" max="6" width="16.7109375" customWidth="1"/>
    <col min="7" max="7" width="11.5703125" bestFit="1" customWidth="1"/>
    <col min="8" max="8" width="16.85546875" customWidth="1"/>
    <col min="9" max="9" width="48.85546875" customWidth="1"/>
  </cols>
  <sheetData>
    <row r="1" spans="1:13">
      <c r="B1" s="42" t="s">
        <v>103</v>
      </c>
      <c r="C1" s="43"/>
      <c r="I1" s="44" t="s">
        <v>63</v>
      </c>
      <c r="J1" s="45"/>
      <c r="K1" s="45"/>
      <c r="L1" s="45"/>
      <c r="M1" s="46"/>
    </row>
    <row r="2" spans="1:13" ht="26">
      <c r="A2" s="29" t="s">
        <v>4</v>
      </c>
      <c r="B2" s="29" t="s">
        <v>5</v>
      </c>
      <c r="C2" s="29" t="s">
        <v>6</v>
      </c>
      <c r="D2" s="29" t="s">
        <v>7</v>
      </c>
      <c r="E2" s="29" t="s">
        <v>105</v>
      </c>
      <c r="I2" s="30" t="s">
        <v>64</v>
      </c>
      <c r="J2" s="31" t="s">
        <v>65</v>
      </c>
      <c r="K2" s="31" t="s">
        <v>66</v>
      </c>
      <c r="L2" s="31" t="s">
        <v>67</v>
      </c>
      <c r="M2" s="32" t="s">
        <v>68</v>
      </c>
    </row>
    <row r="3" spans="1:13">
      <c r="A3">
        <v>1</v>
      </c>
      <c r="B3" s="4">
        <f>+$C$14</f>
        <v>0.125</v>
      </c>
      <c r="C3" s="2">
        <f>(800000-800000*0.2)*B3</f>
        <v>80000</v>
      </c>
      <c r="D3" s="3">
        <f>800000-C3</f>
        <v>720000</v>
      </c>
      <c r="E3" s="2">
        <f>SLN($C$13,$C$15,$A$10)</f>
        <v>80000</v>
      </c>
      <c r="I3" s="33" t="s">
        <v>69</v>
      </c>
      <c r="J3" s="34">
        <v>40</v>
      </c>
      <c r="K3" s="35">
        <f>1/J3</f>
        <v>2.5000000000000001E-2</v>
      </c>
      <c r="L3" s="34">
        <f>J3*12</f>
        <v>480</v>
      </c>
      <c r="M3" s="36">
        <f>1/L3</f>
        <v>2.0833333333333333E-3</v>
      </c>
    </row>
    <row r="4" spans="1:13">
      <c r="A4">
        <v>2</v>
      </c>
      <c r="B4" s="4">
        <f t="shared" ref="B4:B10" si="0">+$C$14</f>
        <v>0.125</v>
      </c>
      <c r="C4" s="2">
        <f t="shared" ref="C4:C10" si="1">(800000-800000*0.2)*B4</f>
        <v>80000</v>
      </c>
      <c r="D4" s="3">
        <f>+D3-C4</f>
        <v>640000</v>
      </c>
      <c r="E4" s="2">
        <f t="shared" ref="E4:E10" si="2">SLN($C$13,$C$15,$A$10)</f>
        <v>80000</v>
      </c>
      <c r="I4" s="33" t="s">
        <v>70</v>
      </c>
      <c r="J4" s="34">
        <v>10</v>
      </c>
      <c r="K4" s="35">
        <f t="shared" ref="K4:K29" si="3">1/J4</f>
        <v>0.1</v>
      </c>
      <c r="L4" s="34">
        <f t="shared" ref="L4:L29" si="4">J4*12</f>
        <v>120</v>
      </c>
      <c r="M4" s="36">
        <f t="shared" ref="M4:M35" si="5">1/L4</f>
        <v>8.3333333333333332E-3</v>
      </c>
    </row>
    <row r="5" spans="1:13">
      <c r="A5">
        <v>3</v>
      </c>
      <c r="B5" s="4">
        <f t="shared" si="0"/>
        <v>0.125</v>
      </c>
      <c r="C5" s="2">
        <f t="shared" si="1"/>
        <v>80000</v>
      </c>
      <c r="D5" s="3">
        <f t="shared" ref="D5:D10" si="6">+D4-C5</f>
        <v>560000</v>
      </c>
      <c r="E5" s="2">
        <f t="shared" si="2"/>
        <v>80000</v>
      </c>
      <c r="I5" s="33" t="s">
        <v>71</v>
      </c>
      <c r="J5" s="34">
        <v>8</v>
      </c>
      <c r="K5" s="35">
        <f t="shared" si="3"/>
        <v>0.125</v>
      </c>
      <c r="L5" s="34">
        <f t="shared" si="4"/>
        <v>96</v>
      </c>
      <c r="M5" s="36">
        <f t="shared" si="5"/>
        <v>1.0416666666666666E-2</v>
      </c>
    </row>
    <row r="6" spans="1:13">
      <c r="A6">
        <v>4</v>
      </c>
      <c r="B6" s="4">
        <f t="shared" si="0"/>
        <v>0.125</v>
      </c>
      <c r="C6" s="2">
        <f t="shared" si="1"/>
        <v>80000</v>
      </c>
      <c r="D6" s="3">
        <f t="shared" si="6"/>
        <v>480000</v>
      </c>
      <c r="E6" s="2">
        <f t="shared" si="2"/>
        <v>80000</v>
      </c>
      <c r="I6" s="33" t="s">
        <v>72</v>
      </c>
      <c r="J6" s="34">
        <v>8</v>
      </c>
      <c r="K6" s="35">
        <f t="shared" si="3"/>
        <v>0.125</v>
      </c>
      <c r="L6" s="34">
        <f t="shared" si="4"/>
        <v>96</v>
      </c>
      <c r="M6" s="36">
        <f t="shared" si="5"/>
        <v>1.0416666666666666E-2</v>
      </c>
    </row>
    <row r="7" spans="1:13">
      <c r="A7">
        <v>5</v>
      </c>
      <c r="B7" s="4">
        <f t="shared" si="0"/>
        <v>0.125</v>
      </c>
      <c r="C7" s="2">
        <f t="shared" si="1"/>
        <v>80000</v>
      </c>
      <c r="D7" s="3">
        <f t="shared" si="6"/>
        <v>400000</v>
      </c>
      <c r="E7" s="2">
        <f t="shared" si="2"/>
        <v>80000</v>
      </c>
      <c r="I7" s="33" t="s">
        <v>73</v>
      </c>
      <c r="J7" s="34">
        <v>10</v>
      </c>
      <c r="K7" s="35">
        <f t="shared" si="3"/>
        <v>0.1</v>
      </c>
      <c r="L7" s="34">
        <f t="shared" si="4"/>
        <v>120</v>
      </c>
      <c r="M7" s="36">
        <f t="shared" si="5"/>
        <v>8.3333333333333332E-3</v>
      </c>
    </row>
    <row r="8" spans="1:13">
      <c r="A8">
        <v>6</v>
      </c>
      <c r="B8" s="4">
        <f t="shared" si="0"/>
        <v>0.125</v>
      </c>
      <c r="C8" s="2">
        <f t="shared" si="1"/>
        <v>80000</v>
      </c>
      <c r="D8" s="3">
        <f t="shared" si="6"/>
        <v>320000</v>
      </c>
      <c r="E8" s="2">
        <f t="shared" si="2"/>
        <v>80000</v>
      </c>
      <c r="I8" s="33" t="s">
        <v>74</v>
      </c>
      <c r="J8" s="34">
        <v>5</v>
      </c>
      <c r="K8" s="35">
        <f t="shared" si="3"/>
        <v>0.2</v>
      </c>
      <c r="L8" s="34">
        <f t="shared" si="4"/>
        <v>60</v>
      </c>
      <c r="M8" s="36">
        <f t="shared" si="5"/>
        <v>1.6666666666666666E-2</v>
      </c>
    </row>
    <row r="9" spans="1:13">
      <c r="A9">
        <v>7</v>
      </c>
      <c r="B9" s="4">
        <f t="shared" si="0"/>
        <v>0.125</v>
      </c>
      <c r="C9" s="2">
        <f t="shared" si="1"/>
        <v>80000</v>
      </c>
      <c r="D9" s="3">
        <f t="shared" si="6"/>
        <v>240000</v>
      </c>
      <c r="E9" s="2">
        <f t="shared" si="2"/>
        <v>80000</v>
      </c>
      <c r="I9" s="33" t="s">
        <v>75</v>
      </c>
      <c r="J9" s="34">
        <v>5</v>
      </c>
      <c r="K9" s="35">
        <f t="shared" si="3"/>
        <v>0.2</v>
      </c>
      <c r="L9" s="34">
        <f t="shared" si="4"/>
        <v>60</v>
      </c>
      <c r="M9" s="36">
        <f t="shared" si="5"/>
        <v>1.6666666666666666E-2</v>
      </c>
    </row>
    <row r="10" spans="1:13">
      <c r="A10">
        <v>8</v>
      </c>
      <c r="B10" s="4">
        <f t="shared" si="0"/>
        <v>0.125</v>
      </c>
      <c r="C10" s="2">
        <f t="shared" si="1"/>
        <v>80000</v>
      </c>
      <c r="D10" s="3">
        <f t="shared" si="6"/>
        <v>160000</v>
      </c>
      <c r="E10" s="2">
        <f t="shared" si="2"/>
        <v>80000</v>
      </c>
      <c r="I10" s="33" t="s">
        <v>76</v>
      </c>
      <c r="J10" s="34">
        <v>5</v>
      </c>
      <c r="K10" s="35">
        <f t="shared" si="3"/>
        <v>0.2</v>
      </c>
      <c r="L10" s="34">
        <f t="shared" si="4"/>
        <v>60</v>
      </c>
      <c r="M10" s="36">
        <f t="shared" si="5"/>
        <v>1.6666666666666666E-2</v>
      </c>
    </row>
    <row r="11" spans="1:13">
      <c r="B11" s="5">
        <f>SUM(B3:B10)</f>
        <v>1</v>
      </c>
      <c r="C11" s="2">
        <f>SUM(C3:C10)</f>
        <v>640000</v>
      </c>
      <c r="E11" s="2">
        <f>SUM(E3:E10)</f>
        <v>640000</v>
      </c>
      <c r="I11" s="33" t="s">
        <v>77</v>
      </c>
      <c r="J11" s="34">
        <v>4</v>
      </c>
      <c r="K11" s="35">
        <f t="shared" si="3"/>
        <v>0.25</v>
      </c>
      <c r="L11" s="34">
        <f t="shared" si="4"/>
        <v>48</v>
      </c>
      <c r="M11" s="36">
        <f t="shared" si="5"/>
        <v>2.0833333333333332E-2</v>
      </c>
    </row>
    <row r="12" spans="1:13">
      <c r="I12" s="33" t="s">
        <v>78</v>
      </c>
      <c r="J12" s="34">
        <v>4</v>
      </c>
      <c r="K12" s="35">
        <f t="shared" si="3"/>
        <v>0.25</v>
      </c>
      <c r="L12" s="34">
        <f t="shared" si="4"/>
        <v>48</v>
      </c>
      <c r="M12" s="36">
        <f t="shared" si="5"/>
        <v>2.0833333333333332E-2</v>
      </c>
    </row>
    <row r="13" spans="1:13">
      <c r="B13" t="s">
        <v>104</v>
      </c>
      <c r="C13" s="2">
        <v>800000</v>
      </c>
      <c r="I13" s="33" t="s">
        <v>79</v>
      </c>
      <c r="J13" s="34">
        <v>4</v>
      </c>
      <c r="K13" s="35">
        <f t="shared" si="3"/>
        <v>0.25</v>
      </c>
      <c r="L13" s="34">
        <f t="shared" si="4"/>
        <v>48</v>
      </c>
      <c r="M13" s="36">
        <f t="shared" si="5"/>
        <v>2.0833333333333332E-2</v>
      </c>
    </row>
    <row r="14" spans="1:13">
      <c r="B14" t="s">
        <v>59</v>
      </c>
      <c r="C14" s="4">
        <f>1/8</f>
        <v>0.125</v>
      </c>
      <c r="I14" s="33" t="s">
        <v>80</v>
      </c>
      <c r="J14" s="34">
        <v>8</v>
      </c>
      <c r="K14" s="35">
        <f t="shared" si="3"/>
        <v>0.125</v>
      </c>
      <c r="L14" s="34">
        <f t="shared" si="4"/>
        <v>96</v>
      </c>
      <c r="M14" s="36">
        <f t="shared" si="5"/>
        <v>1.0416666666666666E-2</v>
      </c>
    </row>
    <row r="15" spans="1:13">
      <c r="B15" t="s">
        <v>61</v>
      </c>
      <c r="C15" s="2">
        <f>+C13*0.2</f>
        <v>160000</v>
      </c>
      <c r="I15" s="33"/>
      <c r="J15" s="34"/>
      <c r="K15" s="35"/>
      <c r="L15" s="34"/>
      <c r="M15" s="36"/>
    </row>
    <row r="16" spans="1:13">
      <c r="I16" s="33" t="s">
        <v>81</v>
      </c>
      <c r="J16" s="34">
        <v>4</v>
      </c>
      <c r="K16" s="35">
        <f t="shared" si="3"/>
        <v>0.25</v>
      </c>
      <c r="L16" s="34">
        <f t="shared" si="4"/>
        <v>48</v>
      </c>
      <c r="M16" s="36">
        <f t="shared" si="5"/>
        <v>2.0833333333333332E-2</v>
      </c>
    </row>
    <row r="17" spans="1:13">
      <c r="B17" s="42" t="s">
        <v>60</v>
      </c>
      <c r="C17" s="43"/>
      <c r="I17" s="33" t="s">
        <v>82</v>
      </c>
      <c r="J17" s="34">
        <v>20</v>
      </c>
      <c r="K17" s="35">
        <f t="shared" si="3"/>
        <v>0.05</v>
      </c>
      <c r="L17" s="34">
        <f t="shared" si="4"/>
        <v>240</v>
      </c>
      <c r="M17" s="36">
        <f t="shared" si="5"/>
        <v>4.1666666666666666E-3</v>
      </c>
    </row>
    <row r="18" spans="1:13">
      <c r="A18" s="29" t="s">
        <v>4</v>
      </c>
      <c r="B18" s="29" t="s">
        <v>5</v>
      </c>
      <c r="C18" s="29" t="s">
        <v>6</v>
      </c>
      <c r="D18" s="29" t="s">
        <v>7</v>
      </c>
      <c r="E18" s="29" t="s">
        <v>106</v>
      </c>
      <c r="I18" s="33" t="s">
        <v>83</v>
      </c>
      <c r="J18" s="34">
        <v>10</v>
      </c>
      <c r="K18" s="35">
        <f t="shared" si="3"/>
        <v>0.1</v>
      </c>
      <c r="L18" s="34">
        <f t="shared" si="4"/>
        <v>120</v>
      </c>
      <c r="M18" s="36">
        <f t="shared" si="5"/>
        <v>8.3333333333333332E-3</v>
      </c>
    </row>
    <row r="19" spans="1:13">
      <c r="A19">
        <v>1</v>
      </c>
      <c r="B19" s="4">
        <f>8/C30</f>
        <v>0.22222222222222221</v>
      </c>
      <c r="C19" s="2">
        <f>(800000-800000*0.2)*B19</f>
        <v>142222.22222222222</v>
      </c>
      <c r="D19" s="3">
        <f>800000-C19</f>
        <v>657777.77777777775</v>
      </c>
      <c r="E19" s="2">
        <f t="shared" ref="E19:E26" si="7">SYD($C$46,$C$48,$A$26,A19)</f>
        <v>142222.22222222222</v>
      </c>
      <c r="I19" s="33" t="s">
        <v>84</v>
      </c>
      <c r="J19" s="34">
        <v>10</v>
      </c>
      <c r="K19" s="35">
        <f t="shared" si="3"/>
        <v>0.1</v>
      </c>
      <c r="L19" s="34">
        <f t="shared" si="4"/>
        <v>120</v>
      </c>
      <c r="M19" s="36">
        <f t="shared" si="5"/>
        <v>8.3333333333333332E-3</v>
      </c>
    </row>
    <row r="20" spans="1:13">
      <c r="A20">
        <v>2</v>
      </c>
      <c r="B20" s="4">
        <f>7/C30</f>
        <v>0.19444444444444445</v>
      </c>
      <c r="C20" s="2">
        <f t="shared" ref="C20:C26" si="8">(800000-800000*0.2)*B20</f>
        <v>124444.44444444445</v>
      </c>
      <c r="D20" s="3">
        <f>+D19-C20</f>
        <v>533333.33333333326</v>
      </c>
      <c r="E20" s="2">
        <f t="shared" si="7"/>
        <v>124444.44444444444</v>
      </c>
      <c r="I20" s="33" t="s">
        <v>85</v>
      </c>
      <c r="J20" s="34">
        <v>20</v>
      </c>
      <c r="K20" s="35">
        <f t="shared" si="3"/>
        <v>0.05</v>
      </c>
      <c r="L20" s="34">
        <f t="shared" si="4"/>
        <v>240</v>
      </c>
      <c r="M20" s="36">
        <f t="shared" si="5"/>
        <v>4.1666666666666666E-3</v>
      </c>
    </row>
    <row r="21" spans="1:13">
      <c r="A21">
        <v>3</v>
      </c>
      <c r="B21" s="4">
        <f>6/C30</f>
        <v>0.16666666666666666</v>
      </c>
      <c r="C21" s="2">
        <f t="shared" si="8"/>
        <v>106666.66666666666</v>
      </c>
      <c r="D21" s="3">
        <f t="shared" ref="D21:D26" si="9">+D20-C21</f>
        <v>426666.66666666663</v>
      </c>
      <c r="E21" s="2">
        <f t="shared" si="7"/>
        <v>106666.66666666667</v>
      </c>
      <c r="I21" s="33" t="s">
        <v>86</v>
      </c>
      <c r="J21" s="34">
        <v>10</v>
      </c>
      <c r="K21" s="35">
        <f t="shared" si="3"/>
        <v>0.1</v>
      </c>
      <c r="L21" s="34">
        <f t="shared" si="4"/>
        <v>120</v>
      </c>
      <c r="M21" s="36">
        <f t="shared" si="5"/>
        <v>8.3333333333333332E-3</v>
      </c>
    </row>
    <row r="22" spans="1:13">
      <c r="A22">
        <v>4</v>
      </c>
      <c r="B22" s="4">
        <f>5/C30</f>
        <v>0.1388888888888889</v>
      </c>
      <c r="C22" s="2">
        <f t="shared" si="8"/>
        <v>88888.888888888891</v>
      </c>
      <c r="D22" s="3">
        <f t="shared" si="9"/>
        <v>337777.77777777775</v>
      </c>
      <c r="E22" s="2">
        <f t="shared" si="7"/>
        <v>88888.888888888891</v>
      </c>
      <c r="I22" s="33" t="s">
        <v>87</v>
      </c>
      <c r="J22" s="34">
        <v>20</v>
      </c>
      <c r="K22" s="35">
        <f t="shared" si="3"/>
        <v>0.05</v>
      </c>
      <c r="L22" s="34">
        <f t="shared" si="4"/>
        <v>240</v>
      </c>
      <c r="M22" s="36">
        <f t="shared" si="5"/>
        <v>4.1666666666666666E-3</v>
      </c>
    </row>
    <row r="23" spans="1:13">
      <c r="A23">
        <v>5</v>
      </c>
      <c r="B23" s="4">
        <f>4/C30</f>
        <v>0.1111111111111111</v>
      </c>
      <c r="C23" s="2">
        <f t="shared" si="8"/>
        <v>71111.111111111109</v>
      </c>
      <c r="D23" s="3">
        <f t="shared" si="9"/>
        <v>266666.66666666663</v>
      </c>
      <c r="E23" s="2">
        <f t="shared" si="7"/>
        <v>71111.111111111109</v>
      </c>
      <c r="I23" s="33" t="s">
        <v>88</v>
      </c>
      <c r="J23" s="34">
        <v>5</v>
      </c>
      <c r="K23" s="35">
        <f t="shared" si="3"/>
        <v>0.2</v>
      </c>
      <c r="L23" s="34">
        <f t="shared" si="4"/>
        <v>60</v>
      </c>
      <c r="M23" s="36">
        <f t="shared" si="5"/>
        <v>1.6666666666666666E-2</v>
      </c>
    </row>
    <row r="24" spans="1:13">
      <c r="A24">
        <v>6</v>
      </c>
      <c r="B24" s="4">
        <f>3/C30</f>
        <v>8.3333333333333329E-2</v>
      </c>
      <c r="C24" s="2">
        <f t="shared" si="8"/>
        <v>53333.333333333328</v>
      </c>
      <c r="D24" s="3">
        <f t="shared" si="9"/>
        <v>213333.33333333331</v>
      </c>
      <c r="E24" s="2">
        <f t="shared" si="7"/>
        <v>53333.333333333336</v>
      </c>
      <c r="I24" s="33" t="s">
        <v>89</v>
      </c>
      <c r="J24" s="34">
        <v>10</v>
      </c>
      <c r="K24" s="35">
        <f t="shared" si="3"/>
        <v>0.1</v>
      </c>
      <c r="L24" s="34">
        <f t="shared" si="4"/>
        <v>120</v>
      </c>
      <c r="M24" s="36">
        <f t="shared" si="5"/>
        <v>8.3333333333333332E-3</v>
      </c>
    </row>
    <row r="25" spans="1:13">
      <c r="A25">
        <v>7</v>
      </c>
      <c r="B25" s="4">
        <f>2/C30</f>
        <v>5.5555555555555552E-2</v>
      </c>
      <c r="C25" s="2">
        <f t="shared" si="8"/>
        <v>35555.555555555555</v>
      </c>
      <c r="D25" s="3">
        <f t="shared" si="9"/>
        <v>177777.77777777775</v>
      </c>
      <c r="E25" s="2">
        <f t="shared" si="7"/>
        <v>35555.555555555555</v>
      </c>
      <c r="I25" s="33" t="s">
        <v>90</v>
      </c>
      <c r="J25" s="34">
        <v>10</v>
      </c>
      <c r="K25" s="35">
        <f t="shared" si="3"/>
        <v>0.1</v>
      </c>
      <c r="L25" s="34">
        <f t="shared" si="4"/>
        <v>120</v>
      </c>
      <c r="M25" s="36">
        <f t="shared" si="5"/>
        <v>8.3333333333333332E-3</v>
      </c>
    </row>
    <row r="26" spans="1:13">
      <c r="A26">
        <v>8</v>
      </c>
      <c r="B26" s="4">
        <f>1/C30</f>
        <v>2.7777777777777776E-2</v>
      </c>
      <c r="C26" s="2">
        <f t="shared" si="8"/>
        <v>17777.777777777777</v>
      </c>
      <c r="D26" s="3">
        <f t="shared" si="9"/>
        <v>159999.99999999997</v>
      </c>
      <c r="E26" s="2">
        <f t="shared" si="7"/>
        <v>17777.777777777777</v>
      </c>
      <c r="I26" s="33" t="s">
        <v>91</v>
      </c>
      <c r="J26" s="34">
        <v>10</v>
      </c>
      <c r="K26" s="35">
        <f t="shared" si="3"/>
        <v>0.1</v>
      </c>
      <c r="L26" s="34">
        <f t="shared" si="4"/>
        <v>120</v>
      </c>
      <c r="M26" s="36">
        <f t="shared" si="5"/>
        <v>8.3333333333333332E-3</v>
      </c>
    </row>
    <row r="27" spans="1:13">
      <c r="B27" s="5">
        <f>SUM(B19:B26)</f>
        <v>1</v>
      </c>
      <c r="C27" s="2">
        <f>SUM(C19:C26)</f>
        <v>640000</v>
      </c>
      <c r="E27" s="2">
        <f>SUM(E19:E26)</f>
        <v>639999.99999999988</v>
      </c>
      <c r="I27" s="33" t="s">
        <v>92</v>
      </c>
      <c r="J27" s="34">
        <v>5</v>
      </c>
      <c r="K27" s="35">
        <f t="shared" si="3"/>
        <v>0.2</v>
      </c>
      <c r="L27" s="34">
        <f t="shared" si="4"/>
        <v>60</v>
      </c>
      <c r="M27" s="36">
        <f t="shared" si="5"/>
        <v>1.6666666666666666E-2</v>
      </c>
    </row>
    <row r="28" spans="1:13">
      <c r="I28" s="33" t="s">
        <v>93</v>
      </c>
      <c r="J28" s="34">
        <v>8</v>
      </c>
      <c r="K28" s="35">
        <f t="shared" si="3"/>
        <v>0.125</v>
      </c>
      <c r="L28" s="34">
        <f t="shared" si="4"/>
        <v>96</v>
      </c>
      <c r="M28" s="36">
        <f t="shared" si="5"/>
        <v>1.0416666666666666E-2</v>
      </c>
    </row>
    <row r="29" spans="1:13">
      <c r="B29" t="s">
        <v>104</v>
      </c>
      <c r="C29">
        <v>800000</v>
      </c>
      <c r="I29" s="33" t="s">
        <v>94</v>
      </c>
      <c r="J29" s="34">
        <v>10</v>
      </c>
      <c r="K29" s="35">
        <f t="shared" si="3"/>
        <v>0.1</v>
      </c>
      <c r="L29" s="34">
        <f t="shared" si="4"/>
        <v>120</v>
      </c>
      <c r="M29" s="36">
        <f t="shared" si="5"/>
        <v>8.3333333333333332E-3</v>
      </c>
    </row>
    <row r="30" spans="1:13">
      <c r="B30" t="s">
        <v>59</v>
      </c>
      <c r="C30">
        <f>(8+(8*8))/2</f>
        <v>36</v>
      </c>
      <c r="I30" s="33" t="s">
        <v>95</v>
      </c>
      <c r="J30" s="34"/>
      <c r="K30" s="35"/>
      <c r="L30" s="34"/>
      <c r="M30" s="36"/>
    </row>
    <row r="31" spans="1:13">
      <c r="B31" t="s">
        <v>61</v>
      </c>
      <c r="C31" s="2">
        <f>+C29*0.2</f>
        <v>160000</v>
      </c>
      <c r="I31" s="33" t="s">
        <v>96</v>
      </c>
      <c r="J31" s="34">
        <v>5</v>
      </c>
      <c r="K31" s="35">
        <f>1/J31</f>
        <v>0.2</v>
      </c>
      <c r="L31" s="34">
        <f>J31*12</f>
        <v>60</v>
      </c>
      <c r="M31" s="36">
        <f t="shared" si="5"/>
        <v>1.6666666666666666E-2</v>
      </c>
    </row>
    <row r="32" spans="1:13">
      <c r="I32" s="33" t="s">
        <v>97</v>
      </c>
      <c r="J32" s="34">
        <v>5</v>
      </c>
      <c r="K32" s="35">
        <f>1/J32</f>
        <v>0.2</v>
      </c>
      <c r="L32" s="34">
        <f>J32*12</f>
        <v>60</v>
      </c>
      <c r="M32" s="36">
        <f t="shared" si="5"/>
        <v>1.6666666666666666E-2</v>
      </c>
    </row>
    <row r="33" spans="1:13">
      <c r="B33" s="42" t="s">
        <v>110</v>
      </c>
      <c r="C33" s="43"/>
      <c r="D33" s="43"/>
      <c r="I33" s="33" t="s">
        <v>98</v>
      </c>
      <c r="J33" s="34">
        <v>8</v>
      </c>
      <c r="K33" s="35">
        <f>1/J33</f>
        <v>0.125</v>
      </c>
      <c r="L33" s="34">
        <f>J33*12</f>
        <v>96</v>
      </c>
      <c r="M33" s="36">
        <f t="shared" si="5"/>
        <v>1.0416666666666666E-2</v>
      </c>
    </row>
    <row r="34" spans="1:13">
      <c r="I34" s="33" t="s">
        <v>99</v>
      </c>
      <c r="J34" s="34">
        <v>8</v>
      </c>
      <c r="K34" s="35">
        <f>1/J34</f>
        <v>0.125</v>
      </c>
      <c r="L34" s="34">
        <f>J34*12</f>
        <v>96</v>
      </c>
      <c r="M34" s="36">
        <f t="shared" si="5"/>
        <v>1.0416666666666666E-2</v>
      </c>
    </row>
    <row r="35" spans="1:13">
      <c r="A35" s="29" t="s">
        <v>4</v>
      </c>
      <c r="B35" s="29" t="s">
        <v>5</v>
      </c>
      <c r="C35" s="29" t="s">
        <v>6</v>
      </c>
      <c r="D35" s="29" t="s">
        <v>102</v>
      </c>
      <c r="E35" s="29" t="s">
        <v>62</v>
      </c>
      <c r="F35" s="29" t="s">
        <v>101</v>
      </c>
      <c r="G35" s="29" t="s">
        <v>108</v>
      </c>
      <c r="I35" s="37" t="s">
        <v>100</v>
      </c>
      <c r="J35" s="38">
        <v>10</v>
      </c>
      <c r="K35" s="39">
        <f>1/J35</f>
        <v>0.1</v>
      </c>
      <c r="L35" s="38">
        <f>J35*12</f>
        <v>120</v>
      </c>
      <c r="M35" s="40">
        <f t="shared" si="5"/>
        <v>8.3333333333333332E-3</v>
      </c>
    </row>
    <row r="36" spans="1:13">
      <c r="A36">
        <v>1</v>
      </c>
      <c r="B36" s="4">
        <f>+$C$47</f>
        <v>0.18223456604205746</v>
      </c>
      <c r="C36" s="2">
        <f>+B36*D36</f>
        <v>145787.65283364596</v>
      </c>
      <c r="D36" s="3">
        <f>+C46</f>
        <v>800000</v>
      </c>
      <c r="E36" s="3">
        <f>+C36</f>
        <v>145787.65283364596</v>
      </c>
      <c r="F36" s="3">
        <f>+D36-C36</f>
        <v>654212.34716635407</v>
      </c>
      <c r="G36" s="2">
        <f>DB($C$46,$C$48,$A$43,A36,12)</f>
        <v>145600</v>
      </c>
    </row>
    <row r="37" spans="1:13">
      <c r="A37">
        <v>2</v>
      </c>
      <c r="B37" s="4">
        <f t="shared" ref="B37:B43" si="10">+$C$47</f>
        <v>0.18223456604205746</v>
      </c>
      <c r="C37" s="2">
        <f t="shared" ref="C37:C43" si="11">+B37*D37</f>
        <v>119220.10318521637</v>
      </c>
      <c r="D37" s="3">
        <f>+D36-C36</f>
        <v>654212.34716635407</v>
      </c>
      <c r="E37" s="3">
        <f>+E36+C37</f>
        <v>265007.75601886236</v>
      </c>
      <c r="F37" s="3">
        <f t="shared" ref="F37:F43" si="12">+D37-C37</f>
        <v>534992.24398113764</v>
      </c>
      <c r="G37" s="2">
        <f t="shared" ref="G37:G43" si="13">DB($C$46,$C$48,$A$43,A37)</f>
        <v>119100.8</v>
      </c>
    </row>
    <row r="38" spans="1:13">
      <c r="A38">
        <v>3</v>
      </c>
      <c r="B38" s="4">
        <f t="shared" si="10"/>
        <v>0.18223456604205746</v>
      </c>
      <c r="C38" s="2">
        <f t="shared" si="11"/>
        <v>97494.079417769142</v>
      </c>
      <c r="D38" s="41">
        <f t="shared" ref="D38:D43" si="14">+D37-C37</f>
        <v>534992.24398113764</v>
      </c>
      <c r="E38" s="3">
        <f t="shared" ref="E38:E43" si="15">+E37+C38</f>
        <v>362501.83543663152</v>
      </c>
      <c r="F38" s="3">
        <f t="shared" si="12"/>
        <v>437498.16456336848</v>
      </c>
      <c r="G38" s="2">
        <f t="shared" si="13"/>
        <v>97424.454399999988</v>
      </c>
    </row>
    <row r="39" spans="1:13">
      <c r="A39">
        <v>4</v>
      </c>
      <c r="B39" s="4">
        <f t="shared" si="10"/>
        <v>0.18223456604205746</v>
      </c>
      <c r="C39" s="2">
        <f t="shared" si="11"/>
        <v>79727.288163402089</v>
      </c>
      <c r="D39" s="3">
        <f t="shared" si="14"/>
        <v>437498.16456336848</v>
      </c>
      <c r="E39" s="3">
        <f t="shared" si="15"/>
        <v>442229.12360003358</v>
      </c>
      <c r="F39" s="3">
        <f t="shared" si="12"/>
        <v>357770.87639996642</v>
      </c>
      <c r="G39" s="2">
        <f t="shared" si="13"/>
        <v>79693.203699199992</v>
      </c>
    </row>
    <row r="40" spans="1:13">
      <c r="A40">
        <v>5</v>
      </c>
      <c r="B40" s="4">
        <f t="shared" si="10"/>
        <v>0.18223456604205746</v>
      </c>
      <c r="C40" s="2">
        <f t="shared" si="11"/>
        <v>65198.220403234453</v>
      </c>
      <c r="D40" s="3">
        <f t="shared" si="14"/>
        <v>357770.87639996642</v>
      </c>
      <c r="E40" s="3">
        <f t="shared" si="15"/>
        <v>507427.34400326805</v>
      </c>
      <c r="F40" s="3">
        <f t="shared" si="12"/>
        <v>292572.65599673195</v>
      </c>
      <c r="G40" s="2">
        <f t="shared" si="13"/>
        <v>65189.040625945592</v>
      </c>
    </row>
    <row r="41" spans="1:13">
      <c r="A41">
        <v>6</v>
      </c>
      <c r="B41" s="4">
        <f t="shared" si="10"/>
        <v>0.18223456604205746</v>
      </c>
      <c r="C41" s="2">
        <f t="shared" si="11"/>
        <v>53316.851001336603</v>
      </c>
      <c r="D41" s="3">
        <f t="shared" si="14"/>
        <v>292572.65599673195</v>
      </c>
      <c r="E41" s="3">
        <f>+E40+C41</f>
        <v>560744.19500460464</v>
      </c>
      <c r="F41" s="3">
        <f t="shared" si="12"/>
        <v>239255.80499539536</v>
      </c>
      <c r="G41" s="2">
        <f t="shared" si="13"/>
        <v>53324.635232023487</v>
      </c>
    </row>
    <row r="42" spans="1:13">
      <c r="A42">
        <v>7</v>
      </c>
      <c r="B42" s="4">
        <f t="shared" si="10"/>
        <v>0.18223456604205746</v>
      </c>
      <c r="C42" s="2">
        <f t="shared" si="11"/>
        <v>43600.677796378994</v>
      </c>
      <c r="D42" s="3">
        <f t="shared" si="14"/>
        <v>239255.80499539536</v>
      </c>
      <c r="E42" s="3">
        <f t="shared" si="15"/>
        <v>604344.8728009836</v>
      </c>
      <c r="F42" s="3">
        <f t="shared" si="12"/>
        <v>195655.12719901637</v>
      </c>
      <c r="G42" s="2">
        <f t="shared" si="13"/>
        <v>43619.551619795217</v>
      </c>
    </row>
    <row r="43" spans="1:13">
      <c r="A43">
        <v>8</v>
      </c>
      <c r="B43" s="4">
        <f t="shared" si="10"/>
        <v>0.18223456604205746</v>
      </c>
      <c r="C43" s="2">
        <f t="shared" si="11"/>
        <v>35655.1271990163</v>
      </c>
      <c r="D43" s="3">
        <f t="shared" si="14"/>
        <v>195655.12719901637</v>
      </c>
      <c r="E43" s="3">
        <f t="shared" si="15"/>
        <v>639999.99999999988</v>
      </c>
      <c r="F43" s="3">
        <f t="shared" si="12"/>
        <v>160000.00000000006</v>
      </c>
      <c r="G43" s="2">
        <f t="shared" si="13"/>
        <v>35680.793224992485</v>
      </c>
    </row>
    <row r="44" spans="1:13">
      <c r="B44" s="5"/>
      <c r="C44" s="2">
        <f>SUM(C36:C43)</f>
        <v>639999.99999999988</v>
      </c>
      <c r="D44" s="3"/>
      <c r="G44" s="3">
        <f>SUM(G36:G43)</f>
        <v>639632.47880195675</v>
      </c>
    </row>
    <row r="46" spans="1:13">
      <c r="B46" t="s">
        <v>104</v>
      </c>
      <c r="C46" s="2">
        <v>800000</v>
      </c>
      <c r="D46" s="2"/>
    </row>
    <row r="47" spans="1:13">
      <c r="B47" t="s">
        <v>59</v>
      </c>
      <c r="C47" s="4">
        <f>1-(C48/C46)^(1/8)</f>
        <v>0.18223456604205746</v>
      </c>
      <c r="D47" s="4">
        <f>ROUND(C47,3)</f>
        <v>0.182</v>
      </c>
    </row>
    <row r="48" spans="1:13">
      <c r="B48" t="s">
        <v>61</v>
      </c>
      <c r="C48" s="2">
        <f>+C46*0.2</f>
        <v>160000</v>
      </c>
      <c r="D48" s="2"/>
    </row>
    <row r="49" spans="1:7">
      <c r="C49" s="2"/>
      <c r="D49" s="2"/>
    </row>
    <row r="50" spans="1:7">
      <c r="B50" s="42" t="s">
        <v>109</v>
      </c>
      <c r="C50" s="43"/>
    </row>
    <row r="52" spans="1:7">
      <c r="A52" s="29" t="s">
        <v>4</v>
      </c>
      <c r="B52" s="29" t="s">
        <v>5</v>
      </c>
      <c r="C52" s="29" t="s">
        <v>6</v>
      </c>
      <c r="D52" s="29" t="s">
        <v>102</v>
      </c>
      <c r="E52" s="29" t="s">
        <v>62</v>
      </c>
      <c r="F52" s="29" t="s">
        <v>101</v>
      </c>
      <c r="G52" s="29" t="s">
        <v>107</v>
      </c>
    </row>
    <row r="53" spans="1:7">
      <c r="A53">
        <v>1</v>
      </c>
      <c r="B53" s="4">
        <f>+$C$64</f>
        <v>0.25</v>
      </c>
      <c r="C53" s="2">
        <f>$C$64*$C$63*(1-$C$64)^(A53-1)</f>
        <v>200000</v>
      </c>
      <c r="D53" s="3">
        <f>+C63</f>
        <v>800000</v>
      </c>
      <c r="E53" s="3">
        <f>+C53</f>
        <v>200000</v>
      </c>
      <c r="F53" s="3">
        <f>+D53-G53</f>
        <v>600000</v>
      </c>
      <c r="G53" s="2">
        <f>DDB($C$63,$C$65,$A$60,A53)</f>
        <v>200000</v>
      </c>
    </row>
    <row r="54" spans="1:7">
      <c r="A54">
        <v>2</v>
      </c>
      <c r="B54" s="4">
        <f t="shared" ref="B54:B60" si="16">+$C$64</f>
        <v>0.25</v>
      </c>
      <c r="C54" s="2">
        <f t="shared" ref="C54:C57" si="17">$C$64*$C$63*(1-$C$64)^(A54-1)</f>
        <v>150000</v>
      </c>
      <c r="D54" s="3">
        <f>+D53-C53</f>
        <v>600000</v>
      </c>
      <c r="E54" s="3">
        <f>+E53+C54</f>
        <v>350000</v>
      </c>
      <c r="F54" s="3">
        <f t="shared" ref="F54:F55" si="18">+D54-G54</f>
        <v>450000</v>
      </c>
      <c r="G54" s="2">
        <f t="shared" ref="G54:G60" si="19">DDB($C$63,$C$65,$A$60,A54)</f>
        <v>150000</v>
      </c>
    </row>
    <row r="55" spans="1:7">
      <c r="A55">
        <v>3</v>
      </c>
      <c r="B55" s="4">
        <f t="shared" si="16"/>
        <v>0.25</v>
      </c>
      <c r="C55" s="2">
        <f t="shared" si="17"/>
        <v>112500</v>
      </c>
      <c r="D55" s="41">
        <f t="shared" ref="D55:D60" si="20">+D54-C54</f>
        <v>450000</v>
      </c>
      <c r="E55" s="3">
        <f t="shared" ref="E55:E57" si="21">+E54+C55</f>
        <v>462500</v>
      </c>
      <c r="F55" s="3">
        <f t="shared" si="18"/>
        <v>337500</v>
      </c>
      <c r="G55" s="2">
        <f t="shared" si="19"/>
        <v>112500</v>
      </c>
    </row>
    <row r="56" spans="1:7">
      <c r="A56">
        <v>4</v>
      </c>
      <c r="B56" s="4">
        <f t="shared" si="16"/>
        <v>0.25</v>
      </c>
      <c r="C56" s="2">
        <f t="shared" si="17"/>
        <v>84375</v>
      </c>
      <c r="D56" s="3">
        <f t="shared" si="20"/>
        <v>337500</v>
      </c>
      <c r="E56" s="3">
        <f t="shared" si="21"/>
        <v>546875</v>
      </c>
      <c r="F56" s="3">
        <f t="shared" ref="F56:F58" si="22">+D56-C56</f>
        <v>253125</v>
      </c>
      <c r="G56" s="2">
        <f t="shared" si="19"/>
        <v>84375</v>
      </c>
    </row>
    <row r="57" spans="1:7">
      <c r="A57">
        <v>5</v>
      </c>
      <c r="B57" s="4">
        <f t="shared" si="16"/>
        <v>0.25</v>
      </c>
      <c r="C57" s="2">
        <f t="shared" si="17"/>
        <v>63281.25</v>
      </c>
      <c r="D57" s="3">
        <f t="shared" si="20"/>
        <v>253125</v>
      </c>
      <c r="E57" s="3">
        <f t="shared" si="21"/>
        <v>610156.25</v>
      </c>
      <c r="F57" s="3">
        <f t="shared" si="22"/>
        <v>189843.75</v>
      </c>
      <c r="G57" s="2">
        <f t="shared" si="19"/>
        <v>63281.25</v>
      </c>
    </row>
    <row r="58" spans="1:7">
      <c r="A58">
        <v>6</v>
      </c>
      <c r="B58" s="4">
        <f t="shared" si="16"/>
        <v>0.25</v>
      </c>
      <c r="C58" s="2">
        <f>+C63-C65-C53-C54-C55-C56-C57</f>
        <v>29843.75</v>
      </c>
      <c r="D58" s="3">
        <f t="shared" si="20"/>
        <v>189843.75</v>
      </c>
      <c r="E58" s="3">
        <f>+E57+C58</f>
        <v>640000</v>
      </c>
      <c r="F58" s="3">
        <f t="shared" si="22"/>
        <v>160000</v>
      </c>
      <c r="G58" s="2">
        <f t="shared" si="19"/>
        <v>29843.75</v>
      </c>
    </row>
    <row r="59" spans="1:7">
      <c r="A59">
        <v>7</v>
      </c>
      <c r="B59" s="4">
        <f t="shared" si="16"/>
        <v>0.25</v>
      </c>
      <c r="C59" s="2"/>
      <c r="D59" s="3">
        <f t="shared" si="20"/>
        <v>160000</v>
      </c>
      <c r="E59" s="3">
        <f t="shared" ref="E59:E60" si="23">+E58+C59</f>
        <v>640000</v>
      </c>
      <c r="F59" s="3"/>
      <c r="G59" s="2">
        <f t="shared" si="19"/>
        <v>0</v>
      </c>
    </row>
    <row r="60" spans="1:7">
      <c r="A60">
        <v>8</v>
      </c>
      <c r="B60" s="4">
        <f t="shared" si="16"/>
        <v>0.25</v>
      </c>
      <c r="C60" s="2"/>
      <c r="D60" s="3">
        <f t="shared" si="20"/>
        <v>160000</v>
      </c>
      <c r="E60" s="3">
        <f t="shared" si="23"/>
        <v>640000</v>
      </c>
      <c r="F60" s="3"/>
      <c r="G60" s="2">
        <f t="shared" si="19"/>
        <v>0</v>
      </c>
    </row>
    <row r="61" spans="1:7">
      <c r="B61" s="5"/>
      <c r="C61" s="2">
        <f>+C63-C65</f>
        <v>640000</v>
      </c>
      <c r="D61" s="3"/>
      <c r="G61" s="3">
        <f>SUM(G53:G60)</f>
        <v>640000</v>
      </c>
    </row>
    <row r="63" spans="1:7">
      <c r="B63" t="s">
        <v>104</v>
      </c>
      <c r="C63" s="2">
        <v>800000</v>
      </c>
      <c r="D63" s="2"/>
    </row>
    <row r="64" spans="1:7">
      <c r="B64" t="s">
        <v>59</v>
      </c>
      <c r="C64" s="4">
        <f>2/8</f>
        <v>0.25</v>
      </c>
      <c r="D64" s="4"/>
    </row>
    <row r="65" spans="2:4">
      <c r="B65" t="s">
        <v>61</v>
      </c>
      <c r="C65" s="2">
        <f>+C63*0.2</f>
        <v>160000</v>
      </c>
      <c r="D65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>
      <selection activeCell="C8" sqref="C8"/>
    </sheetView>
  </sheetViews>
  <sheetFormatPr baseColWidth="10" defaultRowHeight="16"/>
  <cols>
    <col min="1" max="1" width="26.42578125" customWidth="1"/>
    <col min="3" max="3" width="11.42578125" bestFit="1" customWidth="1"/>
  </cols>
  <sheetData>
    <row r="2" spans="1:10">
      <c r="B2" s="29" t="s">
        <v>15</v>
      </c>
      <c r="C2" s="29" t="s">
        <v>16</v>
      </c>
      <c r="D2" s="29" t="s">
        <v>17</v>
      </c>
      <c r="E2" s="29" t="s">
        <v>18</v>
      </c>
      <c r="F2" s="29" t="s">
        <v>19</v>
      </c>
      <c r="G2" s="29" t="s">
        <v>20</v>
      </c>
      <c r="H2" s="29" t="s">
        <v>21</v>
      </c>
      <c r="I2" s="29" t="s">
        <v>22</v>
      </c>
    </row>
    <row r="3" spans="1:10">
      <c r="A3" t="s">
        <v>8</v>
      </c>
      <c r="B3" s="2">
        <f>+Ventas!C2</f>
        <v>120</v>
      </c>
      <c r="C3" s="2">
        <f>+Ventas!C3</f>
        <v>120</v>
      </c>
      <c r="D3" s="2">
        <f>+Ventas!C4</f>
        <v>120</v>
      </c>
      <c r="E3" s="2">
        <f>+Ventas!C5</f>
        <v>110</v>
      </c>
      <c r="F3" s="2">
        <f>+Ventas!C6</f>
        <v>110</v>
      </c>
      <c r="G3" s="2">
        <f>+Ventas!C7</f>
        <v>110</v>
      </c>
      <c r="H3" s="2">
        <f>+Ventas!C7</f>
        <v>110</v>
      </c>
      <c r="I3" s="2">
        <f>+Ventas!C8</f>
        <v>110</v>
      </c>
    </row>
    <row r="4" spans="1:10">
      <c r="A4" t="s">
        <v>9</v>
      </c>
      <c r="B4" s="2">
        <f>+Ventas!B2</f>
        <v>3000</v>
      </c>
      <c r="C4" s="2">
        <f>+Ventas!B3</f>
        <v>5000</v>
      </c>
      <c r="D4" s="2">
        <f>+Ventas!B4</f>
        <v>6000</v>
      </c>
      <c r="E4" s="2">
        <f>+Ventas!B5</f>
        <v>6500</v>
      </c>
      <c r="F4" s="2">
        <f>+Ventas!B6</f>
        <v>6000</v>
      </c>
      <c r="G4" s="2">
        <f>+Ventas!B7</f>
        <v>5000</v>
      </c>
      <c r="H4" s="2">
        <f>+Ventas!B8</f>
        <v>4000</v>
      </c>
      <c r="I4" s="2">
        <f>+Ventas!B9</f>
        <v>3000</v>
      </c>
    </row>
    <row r="5" spans="1:10">
      <c r="A5" t="s">
        <v>10</v>
      </c>
      <c r="B5" s="2">
        <f>+B3*B4</f>
        <v>360000</v>
      </c>
      <c r="C5" s="2">
        <f t="shared" ref="C5:I5" si="0">+C3*C4</f>
        <v>600000</v>
      </c>
      <c r="D5" s="2">
        <f t="shared" si="0"/>
        <v>720000</v>
      </c>
      <c r="E5" s="2">
        <f t="shared" si="0"/>
        <v>715000</v>
      </c>
      <c r="F5" s="2">
        <f t="shared" si="0"/>
        <v>660000</v>
      </c>
      <c r="G5" s="2">
        <f t="shared" si="0"/>
        <v>550000</v>
      </c>
      <c r="H5" s="2">
        <f t="shared" si="0"/>
        <v>440000</v>
      </c>
      <c r="I5" s="2">
        <f t="shared" si="0"/>
        <v>330000</v>
      </c>
    </row>
    <row r="6" spans="1:10">
      <c r="A6" t="s">
        <v>11</v>
      </c>
      <c r="B6" s="2">
        <f>60*B4</f>
        <v>180000</v>
      </c>
      <c r="C6" s="2">
        <f t="shared" ref="C6:I6" si="1">60*C4</f>
        <v>300000</v>
      </c>
      <c r="D6" s="2">
        <f t="shared" si="1"/>
        <v>360000</v>
      </c>
      <c r="E6" s="2">
        <f t="shared" si="1"/>
        <v>390000</v>
      </c>
      <c r="F6" s="2">
        <f t="shared" si="1"/>
        <v>360000</v>
      </c>
      <c r="G6" s="2">
        <f t="shared" si="1"/>
        <v>300000</v>
      </c>
      <c r="H6" s="2">
        <f t="shared" si="1"/>
        <v>240000</v>
      </c>
      <c r="I6" s="2">
        <f t="shared" si="1"/>
        <v>180000</v>
      </c>
    </row>
    <row r="7" spans="1:10">
      <c r="A7" t="s">
        <v>12</v>
      </c>
      <c r="B7" s="2">
        <v>25000</v>
      </c>
      <c r="C7" s="2">
        <v>25000</v>
      </c>
      <c r="D7" s="2">
        <v>25000</v>
      </c>
      <c r="E7" s="2">
        <v>25000</v>
      </c>
      <c r="F7" s="2">
        <v>25000</v>
      </c>
      <c r="G7" s="2">
        <v>25000</v>
      </c>
      <c r="H7" s="2">
        <v>25000</v>
      </c>
      <c r="I7" s="2">
        <v>25000</v>
      </c>
    </row>
    <row r="8" spans="1:10">
      <c r="A8" t="s">
        <v>6</v>
      </c>
      <c r="B8" s="2">
        <f>+Depreciación!C19</f>
        <v>142222.22222222222</v>
      </c>
      <c r="C8" s="2">
        <f>+Depreciación!C20</f>
        <v>124444.44444444445</v>
      </c>
      <c r="D8" s="2">
        <f>+Depreciación!C21</f>
        <v>106666.66666666666</v>
      </c>
      <c r="E8" s="2">
        <f>+Depreciación!C22</f>
        <v>88888.888888888891</v>
      </c>
      <c r="F8" s="2">
        <f>+Depreciación!C23</f>
        <v>71111.111111111109</v>
      </c>
      <c r="G8" s="2">
        <f>+Depreciación!C24</f>
        <v>53333.333333333328</v>
      </c>
      <c r="H8" s="2">
        <f>+Depreciación!C25</f>
        <v>35555.555555555555</v>
      </c>
      <c r="I8" s="2">
        <f>+Depreciación!C26</f>
        <v>17777.777777777777</v>
      </c>
    </row>
    <row r="9" spans="1:10" s="47" customFormat="1">
      <c r="A9" s="47" t="s">
        <v>13</v>
      </c>
      <c r="B9" s="48">
        <f>+B5-B6-B7-B8</f>
        <v>12777.777777777781</v>
      </c>
      <c r="C9" s="48">
        <f t="shared" ref="C9:I9" si="2">+C5-C6-C7-C8</f>
        <v>150555.55555555556</v>
      </c>
      <c r="D9" s="48">
        <f t="shared" si="2"/>
        <v>228333.33333333334</v>
      </c>
      <c r="E9" s="48">
        <f t="shared" si="2"/>
        <v>211111.11111111112</v>
      </c>
      <c r="F9" s="48">
        <f t="shared" si="2"/>
        <v>203888.88888888888</v>
      </c>
      <c r="G9" s="48">
        <f t="shared" si="2"/>
        <v>171666.66666666669</v>
      </c>
      <c r="H9" s="48">
        <f t="shared" si="2"/>
        <v>139444.44444444444</v>
      </c>
      <c r="I9" s="48">
        <f t="shared" si="2"/>
        <v>107222.22222222222</v>
      </c>
    </row>
    <row r="10" spans="1:10">
      <c r="A10" t="s">
        <v>58</v>
      </c>
      <c r="B10" s="2">
        <f>IF(B9&lt;0, 0, B9*0.35)</f>
        <v>4472.2222222222226</v>
      </c>
      <c r="C10" s="2">
        <f t="shared" ref="C10:I10" si="3">IF(C9&lt;0, 0, C9*0.35)</f>
        <v>52694.444444444445</v>
      </c>
      <c r="D10" s="2">
        <f t="shared" si="3"/>
        <v>79916.666666666672</v>
      </c>
      <c r="E10" s="2">
        <f t="shared" si="3"/>
        <v>73888.888888888891</v>
      </c>
      <c r="F10" s="2">
        <f t="shared" si="3"/>
        <v>71361.111111111095</v>
      </c>
      <c r="G10" s="2">
        <f t="shared" si="3"/>
        <v>60083.333333333336</v>
      </c>
      <c r="H10" s="2">
        <f t="shared" si="3"/>
        <v>48805.555555555547</v>
      </c>
      <c r="I10" s="2">
        <f t="shared" si="3"/>
        <v>37527.777777777774</v>
      </c>
      <c r="J10" s="2"/>
    </row>
    <row r="11" spans="1:10" s="47" customFormat="1">
      <c r="A11" s="47" t="s">
        <v>14</v>
      </c>
      <c r="B11" s="48">
        <f>+B9-B10</f>
        <v>8305.5555555555584</v>
      </c>
      <c r="C11" s="48">
        <f t="shared" ref="C11:I11" si="4">+C9-C10</f>
        <v>97861.111111111124</v>
      </c>
      <c r="D11" s="48">
        <f t="shared" si="4"/>
        <v>148416.66666666669</v>
      </c>
      <c r="E11" s="48">
        <f t="shared" si="4"/>
        <v>137222.22222222225</v>
      </c>
      <c r="F11" s="48">
        <f t="shared" si="4"/>
        <v>132527.77777777778</v>
      </c>
      <c r="G11" s="48">
        <f t="shared" si="4"/>
        <v>111583.33333333334</v>
      </c>
      <c r="H11" s="48">
        <f t="shared" si="4"/>
        <v>90638.888888888891</v>
      </c>
      <c r="I11" s="48">
        <f t="shared" si="4"/>
        <v>69694.444444444438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>
      <selection activeCell="D10" sqref="D10"/>
    </sheetView>
  </sheetViews>
  <sheetFormatPr baseColWidth="10" defaultRowHeight="16"/>
  <cols>
    <col min="3" max="3" width="15.5703125" customWidth="1"/>
    <col min="4" max="4" width="12.5703125" customWidth="1"/>
  </cols>
  <sheetData>
    <row r="1" spans="1:4">
      <c r="A1" t="s">
        <v>4</v>
      </c>
      <c r="B1" t="s">
        <v>10</v>
      </c>
      <c r="C1" t="s">
        <v>23</v>
      </c>
      <c r="D1" t="s">
        <v>24</v>
      </c>
    </row>
    <row r="2" spans="1:4">
      <c r="A2">
        <v>0</v>
      </c>
      <c r="B2" s="6"/>
      <c r="C2" s="6">
        <v>20000</v>
      </c>
      <c r="D2" s="6">
        <f>-C2</f>
        <v>-20000</v>
      </c>
    </row>
    <row r="3" spans="1:4">
      <c r="A3">
        <v>1</v>
      </c>
      <c r="B3" s="6">
        <f>+Ventas!D2</f>
        <v>360000</v>
      </c>
      <c r="C3" s="6">
        <f>+B3*0.15</f>
        <v>54000</v>
      </c>
      <c r="D3" s="6">
        <f>-C3-D2</f>
        <v>-34000</v>
      </c>
    </row>
    <row r="4" spans="1:4">
      <c r="A4">
        <v>2</v>
      </c>
      <c r="B4" s="6">
        <f>+Ventas!D3</f>
        <v>600000</v>
      </c>
      <c r="C4" s="6">
        <f t="shared" ref="C4:C10" si="0">+B4*0.15</f>
        <v>90000</v>
      </c>
      <c r="D4" s="6">
        <f>-C4-D2-D3</f>
        <v>-36000</v>
      </c>
    </row>
    <row r="5" spans="1:4">
      <c r="A5">
        <v>3</v>
      </c>
      <c r="B5" s="6">
        <f>+Ventas!D4</f>
        <v>720000</v>
      </c>
      <c r="C5" s="6">
        <f t="shared" si="0"/>
        <v>108000</v>
      </c>
      <c r="D5" s="6">
        <f>-C5-D4-D3-D2</f>
        <v>-18000</v>
      </c>
    </row>
    <row r="6" spans="1:4">
      <c r="A6">
        <v>4</v>
      </c>
      <c r="B6" s="6">
        <f>+Ventas!D5</f>
        <v>715000</v>
      </c>
      <c r="C6" s="6">
        <f t="shared" si="0"/>
        <v>107250</v>
      </c>
      <c r="D6" s="6">
        <f>-C6-D5-D4-D3-D2</f>
        <v>750</v>
      </c>
    </row>
    <row r="7" spans="1:4">
      <c r="A7">
        <v>5</v>
      </c>
      <c r="B7" s="6">
        <f>+Ventas!D6</f>
        <v>660000</v>
      </c>
      <c r="C7" s="6">
        <f t="shared" si="0"/>
        <v>99000</v>
      </c>
      <c r="D7" s="6">
        <f>-C7-D6-D5-D4-D3-D2</f>
        <v>8250</v>
      </c>
    </row>
    <row r="8" spans="1:4">
      <c r="A8">
        <v>6</v>
      </c>
      <c r="B8" s="6">
        <f>+Ventas!D7</f>
        <v>550000</v>
      </c>
      <c r="C8" s="6">
        <f t="shared" si="0"/>
        <v>82500</v>
      </c>
      <c r="D8" s="6">
        <f>-C8-D7-D6-D5-D4-D3-D2</f>
        <v>16500</v>
      </c>
    </row>
    <row r="9" spans="1:4">
      <c r="A9">
        <v>7</v>
      </c>
      <c r="B9" s="6">
        <f>+Ventas!D8</f>
        <v>440000</v>
      </c>
      <c r="C9" s="6">
        <f t="shared" si="0"/>
        <v>66000</v>
      </c>
      <c r="D9" s="6">
        <f>-C9-D8-D7-D6-D5-D4-D3-D2</f>
        <v>16500</v>
      </c>
    </row>
    <row r="10" spans="1:4">
      <c r="A10">
        <v>8</v>
      </c>
      <c r="B10" s="6">
        <f>+Ventas!D9</f>
        <v>330000</v>
      </c>
      <c r="C10" s="6">
        <f t="shared" si="0"/>
        <v>49500</v>
      </c>
      <c r="D10" s="6">
        <f>-C10-D9-D8-D7-D6-D5-D4-D3-D2</f>
        <v>16500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workbookViewId="0">
      <selection activeCell="B1" sqref="B1:J1"/>
    </sheetView>
  </sheetViews>
  <sheetFormatPr baseColWidth="10" defaultRowHeight="16"/>
  <cols>
    <col min="1" max="1" width="35.85546875" style="8" customWidth="1"/>
    <col min="2" max="2" width="12.7109375" style="8" customWidth="1"/>
    <col min="3" max="16384" width="10.7109375" style="8"/>
  </cols>
  <sheetData>
    <row r="1" spans="1:10">
      <c r="B1" s="51" t="s">
        <v>36</v>
      </c>
      <c r="C1" s="51" t="s">
        <v>15</v>
      </c>
      <c r="D1" s="51" t="s">
        <v>16</v>
      </c>
      <c r="E1" s="51" t="s">
        <v>17</v>
      </c>
      <c r="F1" s="51" t="s">
        <v>18</v>
      </c>
      <c r="G1" s="51" t="s">
        <v>19</v>
      </c>
      <c r="H1" s="51" t="s">
        <v>20</v>
      </c>
      <c r="I1" s="51" t="s">
        <v>21</v>
      </c>
      <c r="J1" s="51" t="s">
        <v>22</v>
      </c>
    </row>
    <row r="2" spans="1:10">
      <c r="A2" s="9" t="s">
        <v>25</v>
      </c>
      <c r="B2" s="10"/>
      <c r="C2" s="11"/>
      <c r="D2" s="11"/>
      <c r="E2" s="11"/>
      <c r="F2" s="11"/>
      <c r="G2" s="11"/>
      <c r="H2" s="11"/>
      <c r="I2" s="11"/>
      <c r="J2" s="11"/>
    </row>
    <row r="3" spans="1:10">
      <c r="A3" s="8" t="s">
        <v>27</v>
      </c>
      <c r="B3" s="11"/>
      <c r="C3" s="11">
        <f>+'Est Resultados'!B9</f>
        <v>12777.777777777781</v>
      </c>
      <c r="D3" s="11">
        <f>+'Est Resultados'!C9</f>
        <v>150555.55555555556</v>
      </c>
      <c r="E3" s="11">
        <f>+'Est Resultados'!D9</f>
        <v>228333.33333333334</v>
      </c>
      <c r="F3" s="11">
        <f>+'Est Resultados'!E9</f>
        <v>211111.11111111112</v>
      </c>
      <c r="G3" s="11">
        <f>+'Est Resultados'!F9</f>
        <v>203888.88888888888</v>
      </c>
      <c r="H3" s="11">
        <f>+'Est Resultados'!G9</f>
        <v>171666.66666666669</v>
      </c>
      <c r="I3" s="11">
        <f>+'Est Resultados'!H9</f>
        <v>139444.44444444444</v>
      </c>
      <c r="J3" s="11">
        <f>+'Est Resultados'!I9</f>
        <v>107222.22222222222</v>
      </c>
    </row>
    <row r="4" spans="1:10">
      <c r="A4" s="8" t="s">
        <v>6</v>
      </c>
      <c r="B4" s="11"/>
      <c r="C4" s="11">
        <f>+'Est Resultados'!B8</f>
        <v>142222.22222222222</v>
      </c>
      <c r="D4" s="11">
        <f>+'Est Resultados'!C8</f>
        <v>124444.44444444445</v>
      </c>
      <c r="E4" s="11">
        <f>+'Est Resultados'!D8</f>
        <v>106666.66666666666</v>
      </c>
      <c r="F4" s="11">
        <f>+'Est Resultados'!E8</f>
        <v>88888.888888888891</v>
      </c>
      <c r="G4" s="11">
        <f>+'Est Resultados'!F8</f>
        <v>71111.111111111109</v>
      </c>
      <c r="H4" s="11">
        <f>+'Est Resultados'!G8</f>
        <v>53333.333333333328</v>
      </c>
      <c r="I4" s="11">
        <f>+'Est Resultados'!H8</f>
        <v>35555.555555555555</v>
      </c>
      <c r="J4" s="11">
        <f>+'Est Resultados'!I8</f>
        <v>17777.777777777777</v>
      </c>
    </row>
    <row r="5" spans="1:10">
      <c r="A5" s="8" t="s">
        <v>28</v>
      </c>
      <c r="B5" s="11"/>
      <c r="C5" s="11">
        <f>-'Est Resultados'!B10</f>
        <v>-4472.2222222222226</v>
      </c>
      <c r="D5" s="11">
        <f>-'Est Resultados'!C10</f>
        <v>-52694.444444444445</v>
      </c>
      <c r="E5" s="11">
        <f>-'Est Resultados'!D10</f>
        <v>-79916.666666666672</v>
      </c>
      <c r="F5" s="11">
        <f>-'Est Resultados'!E10</f>
        <v>-73888.888888888891</v>
      </c>
      <c r="G5" s="11">
        <f>-'Est Resultados'!F10</f>
        <v>-71361.111111111095</v>
      </c>
      <c r="H5" s="11">
        <f>-'Est Resultados'!G10</f>
        <v>-60083.333333333336</v>
      </c>
      <c r="I5" s="11">
        <f>-'Est Resultados'!H10</f>
        <v>-48805.555555555547</v>
      </c>
      <c r="J5" s="11">
        <f>-'Est Resultados'!I10</f>
        <v>-37527.777777777774</v>
      </c>
    </row>
    <row r="6" spans="1:10">
      <c r="A6" s="12" t="s">
        <v>37</v>
      </c>
      <c r="B6" s="13"/>
      <c r="C6" s="13">
        <f>SUM(C3:C5)</f>
        <v>150527.77777777778</v>
      </c>
      <c r="D6" s="13">
        <f t="shared" ref="D6:J6" si="0">SUM(D3:D5)</f>
        <v>222305.55555555556</v>
      </c>
      <c r="E6" s="13">
        <f t="shared" si="0"/>
        <v>255083.33333333331</v>
      </c>
      <c r="F6" s="13">
        <f t="shared" si="0"/>
        <v>226111.11111111112</v>
      </c>
      <c r="G6" s="13">
        <f t="shared" si="0"/>
        <v>203638.88888888891</v>
      </c>
      <c r="H6" s="13">
        <f t="shared" si="0"/>
        <v>164916.66666666666</v>
      </c>
      <c r="I6" s="13">
        <f t="shared" si="0"/>
        <v>126194.44444444445</v>
      </c>
      <c r="J6" s="13">
        <f t="shared" si="0"/>
        <v>87472.222222222219</v>
      </c>
    </row>
    <row r="7" spans="1:10">
      <c r="A7" s="9" t="s">
        <v>29</v>
      </c>
      <c r="B7" s="10"/>
      <c r="C7" s="11"/>
      <c r="D7" s="11"/>
      <c r="E7" s="11"/>
      <c r="F7" s="11"/>
      <c r="G7" s="11"/>
      <c r="H7" s="11"/>
      <c r="I7" s="11"/>
      <c r="J7" s="11"/>
    </row>
    <row r="8" spans="1:10">
      <c r="A8" s="8" t="s">
        <v>30</v>
      </c>
      <c r="B8" s="11">
        <f>+'Cap Trabajo Neto'!D2</f>
        <v>-20000</v>
      </c>
      <c r="D8" s="11"/>
      <c r="E8" s="11"/>
      <c r="F8" s="11"/>
      <c r="G8" s="11"/>
      <c r="H8" s="11"/>
      <c r="I8" s="11"/>
      <c r="J8" s="11"/>
    </row>
    <row r="9" spans="1:10">
      <c r="A9" s="8" t="s">
        <v>31</v>
      </c>
      <c r="B9" s="11"/>
      <c r="C9" s="11">
        <f>+'Cap Trabajo Neto'!D3</f>
        <v>-34000</v>
      </c>
      <c r="D9" s="11">
        <f>+'Cap Trabajo Neto'!D4</f>
        <v>-36000</v>
      </c>
      <c r="E9" s="11">
        <f>+'Cap Trabajo Neto'!D5</f>
        <v>-18000</v>
      </c>
      <c r="F9" s="11">
        <f>+'Cap Trabajo Neto'!D6</f>
        <v>750</v>
      </c>
      <c r="G9" s="11">
        <f>+'Cap Trabajo Neto'!D7</f>
        <v>8250</v>
      </c>
      <c r="H9" s="11">
        <f>+'Cap Trabajo Neto'!D8</f>
        <v>16500</v>
      </c>
      <c r="I9" s="11">
        <f>+'Cap Trabajo Neto'!D9</f>
        <v>16500</v>
      </c>
      <c r="J9" s="11">
        <f>+'Cap Trabajo Neto'!D10</f>
        <v>16500</v>
      </c>
    </row>
    <row r="10" spans="1:10">
      <c r="A10" s="8" t="s">
        <v>32</v>
      </c>
      <c r="B10" s="11"/>
      <c r="C10" s="11"/>
      <c r="D10" s="11"/>
      <c r="E10" s="11"/>
      <c r="F10" s="11"/>
      <c r="G10" s="11"/>
      <c r="H10" s="11"/>
      <c r="I10" s="11"/>
      <c r="J10" s="11">
        <f>+'Cap Trabajo Neto'!C10</f>
        <v>49500</v>
      </c>
    </row>
    <row r="11" spans="1:10">
      <c r="A11" s="12" t="s">
        <v>38</v>
      </c>
      <c r="B11" s="13">
        <f>+B8+B9+B10</f>
        <v>-20000</v>
      </c>
      <c r="C11" s="13">
        <f t="shared" ref="C11:J11" si="1">+C8+C9+C10</f>
        <v>-34000</v>
      </c>
      <c r="D11" s="13">
        <f t="shared" si="1"/>
        <v>-36000</v>
      </c>
      <c r="E11" s="13">
        <f t="shared" si="1"/>
        <v>-18000</v>
      </c>
      <c r="F11" s="13">
        <f t="shared" si="1"/>
        <v>750</v>
      </c>
      <c r="G11" s="13">
        <f t="shared" si="1"/>
        <v>8250</v>
      </c>
      <c r="H11" s="13">
        <f t="shared" si="1"/>
        <v>16500</v>
      </c>
      <c r="I11" s="13">
        <f t="shared" si="1"/>
        <v>16500</v>
      </c>
      <c r="J11" s="13">
        <f t="shared" si="1"/>
        <v>66000</v>
      </c>
    </row>
    <row r="12" spans="1:10">
      <c r="A12" s="9" t="s">
        <v>33</v>
      </c>
      <c r="B12" s="10"/>
      <c r="C12" s="11"/>
      <c r="D12" s="11"/>
      <c r="E12" s="11"/>
      <c r="F12" s="11"/>
      <c r="G12" s="11"/>
      <c r="H12" s="11"/>
      <c r="I12" s="11"/>
      <c r="J12" s="11"/>
    </row>
    <row r="13" spans="1:10">
      <c r="A13" s="8" t="s">
        <v>34</v>
      </c>
      <c r="B13" s="11">
        <v>-800000</v>
      </c>
      <c r="D13" s="11"/>
      <c r="E13" s="11"/>
      <c r="F13" s="11"/>
      <c r="G13" s="11"/>
      <c r="H13" s="11"/>
      <c r="I13" s="11"/>
      <c r="J13" s="11"/>
    </row>
    <row r="14" spans="1:10">
      <c r="A14" s="8" t="s">
        <v>35</v>
      </c>
      <c r="B14" s="11"/>
      <c r="C14" s="11"/>
      <c r="D14" s="11"/>
      <c r="E14" s="11"/>
      <c r="F14" s="11"/>
      <c r="G14" s="11"/>
      <c r="H14" s="11"/>
      <c r="I14" s="11"/>
      <c r="J14" s="11">
        <f>-B13*0.2+B13*0.2*0.34</f>
        <v>105600</v>
      </c>
    </row>
    <row r="15" spans="1:10">
      <c r="A15" s="12" t="s">
        <v>39</v>
      </c>
      <c r="B15" s="13">
        <f>+B13+B14</f>
        <v>-800000</v>
      </c>
      <c r="C15" s="13">
        <f t="shared" ref="C15:J15" si="2">+C13+C14</f>
        <v>0</v>
      </c>
      <c r="D15" s="13">
        <f t="shared" si="2"/>
        <v>0</v>
      </c>
      <c r="E15" s="13">
        <f t="shared" si="2"/>
        <v>0</v>
      </c>
      <c r="F15" s="13">
        <f t="shared" si="2"/>
        <v>0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>
        <f t="shared" si="2"/>
        <v>105600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"/>
  <sheetViews>
    <sheetView workbookViewId="0">
      <selection activeCell="B1" sqref="B1:J1"/>
    </sheetView>
  </sheetViews>
  <sheetFormatPr baseColWidth="10" defaultRowHeight="16"/>
  <cols>
    <col min="1" max="1" width="25.140625" style="8" customWidth="1"/>
    <col min="2" max="2" width="12.7109375" style="8" customWidth="1"/>
    <col min="3" max="3" width="12.5703125" style="8" bestFit="1" customWidth="1"/>
    <col min="4" max="16384" width="10.7109375" style="8"/>
  </cols>
  <sheetData>
    <row r="1" spans="1:10">
      <c r="B1" s="51" t="s">
        <v>36</v>
      </c>
      <c r="C1" s="51" t="s">
        <v>15</v>
      </c>
      <c r="D1" s="51" t="s">
        <v>16</v>
      </c>
      <c r="E1" s="51" t="s">
        <v>17</v>
      </c>
      <c r="F1" s="51" t="s">
        <v>18</v>
      </c>
      <c r="G1" s="51" t="s">
        <v>19</v>
      </c>
      <c r="H1" s="51" t="s">
        <v>20</v>
      </c>
      <c r="I1" s="51" t="s">
        <v>21</v>
      </c>
      <c r="J1" s="51" t="s">
        <v>22</v>
      </c>
    </row>
    <row r="2" spans="1:10">
      <c r="A2" s="14" t="s">
        <v>25</v>
      </c>
      <c r="B2" s="16">
        <f>+'Efectivo Por Partes'!B6</f>
        <v>0</v>
      </c>
      <c r="C2" s="16">
        <f>+'Efectivo Por Partes'!C6</f>
        <v>150527.77777777778</v>
      </c>
      <c r="D2" s="16">
        <f>+'Efectivo Por Partes'!D6</f>
        <v>222305.55555555556</v>
      </c>
      <c r="E2" s="16">
        <f>+'Efectivo Por Partes'!E6</f>
        <v>255083.33333333331</v>
      </c>
      <c r="F2" s="16">
        <f>+'Efectivo Por Partes'!F6</f>
        <v>226111.11111111112</v>
      </c>
      <c r="G2" s="16">
        <f>+'Efectivo Por Partes'!G6</f>
        <v>203638.88888888891</v>
      </c>
      <c r="H2" s="16">
        <f>+'Efectivo Por Partes'!H6</f>
        <v>164916.66666666666</v>
      </c>
      <c r="I2" s="16">
        <f>+'Efectivo Por Partes'!I6</f>
        <v>126194.44444444445</v>
      </c>
      <c r="J2" s="16">
        <f>+'Efectivo Por Partes'!J6</f>
        <v>87472.222222222219</v>
      </c>
    </row>
    <row r="3" spans="1:10">
      <c r="A3" s="14" t="s">
        <v>29</v>
      </c>
      <c r="B3" s="16">
        <f>+'Efectivo Por Partes'!B11</f>
        <v>-20000</v>
      </c>
      <c r="C3" s="16">
        <f>+'Efectivo Por Partes'!C11</f>
        <v>-34000</v>
      </c>
      <c r="D3" s="16">
        <f>+'Efectivo Por Partes'!D11</f>
        <v>-36000</v>
      </c>
      <c r="E3" s="16">
        <f>+'Efectivo Por Partes'!E11</f>
        <v>-18000</v>
      </c>
      <c r="F3" s="16">
        <f>+'Efectivo Por Partes'!F11</f>
        <v>750</v>
      </c>
      <c r="G3" s="16">
        <f>+'Efectivo Por Partes'!G11</f>
        <v>8250</v>
      </c>
      <c r="H3" s="16">
        <f>+'Efectivo Por Partes'!H11</f>
        <v>16500</v>
      </c>
      <c r="I3" s="16">
        <f>+'Efectivo Por Partes'!I11</f>
        <v>16500</v>
      </c>
      <c r="J3" s="16">
        <f>+'Efectivo Por Partes'!J11</f>
        <v>66000</v>
      </c>
    </row>
    <row r="4" spans="1:10">
      <c r="A4" s="14" t="s">
        <v>33</v>
      </c>
      <c r="B4" s="16">
        <f>+'Efectivo Por Partes'!B15</f>
        <v>-800000</v>
      </c>
      <c r="C4" s="16">
        <f>+'Efectivo Por Partes'!C15</f>
        <v>0</v>
      </c>
      <c r="D4" s="16">
        <f>+'Efectivo Por Partes'!D15</f>
        <v>0</v>
      </c>
      <c r="E4" s="16">
        <f>+'Efectivo Por Partes'!E15</f>
        <v>0</v>
      </c>
      <c r="F4" s="16">
        <f>+'Efectivo Por Partes'!F15</f>
        <v>0</v>
      </c>
      <c r="G4" s="16">
        <f>+'Efectivo Por Partes'!G15</f>
        <v>0</v>
      </c>
      <c r="H4" s="16">
        <f>+'Efectivo Por Partes'!H15</f>
        <v>0</v>
      </c>
      <c r="I4" s="16">
        <f>+'Efectivo Por Partes'!I15</f>
        <v>0</v>
      </c>
      <c r="J4" s="16">
        <f>+'Efectivo Por Partes'!J15</f>
        <v>105600</v>
      </c>
    </row>
    <row r="5" spans="1:10">
      <c r="A5" s="15" t="s">
        <v>40</v>
      </c>
      <c r="B5" s="15">
        <f>SUM(B2:B4)</f>
        <v>-820000</v>
      </c>
      <c r="C5" s="15">
        <f t="shared" ref="C5:J5" si="0">SUM(C2:C4)</f>
        <v>116527.77777777778</v>
      </c>
      <c r="D5" s="15">
        <f t="shared" si="0"/>
        <v>186305.55555555556</v>
      </c>
      <c r="E5" s="15">
        <f t="shared" si="0"/>
        <v>237083.33333333331</v>
      </c>
      <c r="F5" s="15">
        <f t="shared" si="0"/>
        <v>226861.11111111112</v>
      </c>
      <c r="G5" s="15">
        <f t="shared" si="0"/>
        <v>211888.88888888891</v>
      </c>
      <c r="H5" s="15">
        <f t="shared" si="0"/>
        <v>181416.66666666666</v>
      </c>
      <c r="I5" s="15">
        <f t="shared" si="0"/>
        <v>142694.44444444444</v>
      </c>
      <c r="J5" s="15">
        <f t="shared" si="0"/>
        <v>259072.22222222222</v>
      </c>
    </row>
    <row r="8" spans="1:10">
      <c r="A8" s="17" t="s">
        <v>41</v>
      </c>
      <c r="B8" s="9">
        <f>NPV(0.15,C5:J5)+B5</f>
        <v>29909.938552047708</v>
      </c>
    </row>
    <row r="9" spans="1:10">
      <c r="A9" s="17" t="s">
        <v>42</v>
      </c>
      <c r="B9" s="28">
        <f>IRR(B5:J5)</f>
        <v>0.16033728532229352</v>
      </c>
    </row>
    <row r="10" spans="1:10">
      <c r="A10" s="17" t="s">
        <v>43</v>
      </c>
      <c r="B10" s="7">
        <f>4-SUM(B5:F5)/SUM(B5:G5)</f>
        <v>4.3354341736694684</v>
      </c>
      <c r="C10" s="2"/>
      <c r="D10" s="18"/>
    </row>
    <row r="11" spans="1:10">
      <c r="B11" s="2"/>
      <c r="C1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12"/>
  <sheetViews>
    <sheetView workbookViewId="0">
      <selection activeCell="D12" sqref="D12"/>
    </sheetView>
  </sheetViews>
  <sheetFormatPr baseColWidth="10" defaultColWidth="7.5703125" defaultRowHeight="16"/>
  <cols>
    <col min="1" max="2" width="17.5703125" customWidth="1"/>
    <col min="3" max="3" width="10.85546875" bestFit="1" customWidth="1"/>
    <col min="4" max="4" width="11.85546875" bestFit="1" customWidth="1"/>
    <col min="5" max="5" width="10.28515625" customWidth="1"/>
    <col min="12" max="12" width="17.5703125" bestFit="1" customWidth="1"/>
    <col min="13" max="13" width="8.85546875" bestFit="1" customWidth="1"/>
  </cols>
  <sheetData>
    <row r="2" spans="1:12">
      <c r="A2" t="s">
        <v>44</v>
      </c>
    </row>
    <row r="3" spans="1:12">
      <c r="A3" t="s">
        <v>45</v>
      </c>
      <c r="B3" s="8">
        <f>800000*0.8</f>
        <v>640000</v>
      </c>
    </row>
    <row r="4" spans="1:12">
      <c r="A4" t="s">
        <v>46</v>
      </c>
      <c r="B4" s="19">
        <v>0.3</v>
      </c>
      <c r="C4" t="s">
        <v>47</v>
      </c>
    </row>
    <row r="5" spans="1:12" ht="48">
      <c r="A5" s="20" t="s">
        <v>48</v>
      </c>
      <c r="B5">
        <v>3</v>
      </c>
      <c r="C5" t="s">
        <v>49</v>
      </c>
    </row>
    <row r="6" spans="1:12">
      <c r="A6" s="20" t="s">
        <v>51</v>
      </c>
      <c r="B6" s="8">
        <f>-PMT(B4,B5,B3)</f>
        <v>352401.00250626565</v>
      </c>
      <c r="I6" s="22"/>
      <c r="J6" s="21"/>
      <c r="L6" s="23"/>
    </row>
    <row r="8" spans="1:12" ht="32">
      <c r="A8" s="24" t="s">
        <v>50</v>
      </c>
      <c r="B8" s="24" t="s">
        <v>51</v>
      </c>
      <c r="C8" s="25" t="s">
        <v>52</v>
      </c>
      <c r="D8" s="24" t="s">
        <v>53</v>
      </c>
      <c r="E8" s="24" t="s">
        <v>54</v>
      </c>
    </row>
    <row r="9" spans="1:12">
      <c r="A9" s="26">
        <v>0</v>
      </c>
      <c r="B9" s="27"/>
      <c r="C9" s="27"/>
      <c r="D9" s="27"/>
      <c r="E9" s="27">
        <f>B3</f>
        <v>640000</v>
      </c>
    </row>
    <row r="10" spans="1:12">
      <c r="A10" s="26">
        <v>1</v>
      </c>
      <c r="B10" s="27">
        <f>$B$6</f>
        <v>352401.00250626565</v>
      </c>
      <c r="C10" s="27">
        <f>B10-D10</f>
        <v>160401.00250626565</v>
      </c>
      <c r="D10" s="27">
        <f>+E9*B4</f>
        <v>192000</v>
      </c>
      <c r="E10" s="27">
        <f>E9-C10</f>
        <v>479598.99749373435</v>
      </c>
    </row>
    <row r="11" spans="1:12">
      <c r="A11" s="26">
        <v>2</v>
      </c>
      <c r="B11" s="27">
        <f>$B$6</f>
        <v>352401.00250626565</v>
      </c>
      <c r="C11" s="27">
        <f t="shared" ref="C11:C12" si="0">B11-D11</f>
        <v>208521.30325814534</v>
      </c>
      <c r="D11" s="27">
        <f>+E10*B4</f>
        <v>143879.69924812031</v>
      </c>
      <c r="E11" s="27">
        <f t="shared" ref="E11:E12" si="1">E10-C11</f>
        <v>271077.69423558901</v>
      </c>
    </row>
    <row r="12" spans="1:12">
      <c r="A12" s="26">
        <v>3</v>
      </c>
      <c r="B12" s="27">
        <f>$B$6</f>
        <v>352401.00250626565</v>
      </c>
      <c r="C12" s="27">
        <f t="shared" si="0"/>
        <v>271077.69423558895</v>
      </c>
      <c r="D12" s="27">
        <f>+E11*B4</f>
        <v>81323.308270676702</v>
      </c>
      <c r="E12" s="27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E5E2-6421-EE40-B01A-579D19028CE9}">
  <dimension ref="A2:J12"/>
  <sheetViews>
    <sheetView workbookViewId="0">
      <selection activeCell="B2" sqref="B2:I2"/>
    </sheetView>
  </sheetViews>
  <sheetFormatPr baseColWidth="10" defaultRowHeight="16"/>
  <cols>
    <col min="1" max="1" width="26.42578125" style="8" customWidth="1"/>
    <col min="2" max="2" width="10.7109375" style="8"/>
    <col min="3" max="3" width="11.42578125" style="8" bestFit="1" customWidth="1"/>
    <col min="4" max="16384" width="10.7109375" style="8"/>
  </cols>
  <sheetData>
    <row r="2" spans="1:10">
      <c r="B2" s="51" t="s">
        <v>15</v>
      </c>
      <c r="C2" s="51" t="s">
        <v>16</v>
      </c>
      <c r="D2" s="51" t="s">
        <v>17</v>
      </c>
      <c r="E2" s="51" t="s">
        <v>18</v>
      </c>
      <c r="F2" s="51" t="s">
        <v>19</v>
      </c>
      <c r="G2" s="51" t="s">
        <v>20</v>
      </c>
      <c r="H2" s="51" t="s">
        <v>21</v>
      </c>
      <c r="I2" s="51" t="s">
        <v>22</v>
      </c>
    </row>
    <row r="3" spans="1:10">
      <c r="A3" s="8" t="s">
        <v>8</v>
      </c>
      <c r="B3" s="11">
        <f>+Ventas!C2</f>
        <v>120</v>
      </c>
      <c r="C3" s="11">
        <f>+Ventas!C3</f>
        <v>120</v>
      </c>
      <c r="D3" s="11">
        <f>+Ventas!C4</f>
        <v>120</v>
      </c>
      <c r="E3" s="11">
        <f>+Ventas!C5</f>
        <v>110</v>
      </c>
      <c r="F3" s="11">
        <f>+Ventas!C6</f>
        <v>110</v>
      </c>
      <c r="G3" s="11">
        <f>+Ventas!C7</f>
        <v>110</v>
      </c>
      <c r="H3" s="11">
        <f>+Ventas!C7</f>
        <v>110</v>
      </c>
      <c r="I3" s="11">
        <f>+Ventas!C8</f>
        <v>110</v>
      </c>
    </row>
    <row r="4" spans="1:10">
      <c r="A4" s="8" t="s">
        <v>9</v>
      </c>
      <c r="B4" s="11">
        <f>+Ventas!B2</f>
        <v>3000</v>
      </c>
      <c r="C4" s="11">
        <f>+Ventas!B3</f>
        <v>5000</v>
      </c>
      <c r="D4" s="11">
        <f>+Ventas!B4</f>
        <v>6000</v>
      </c>
      <c r="E4" s="11">
        <f>+Ventas!B5</f>
        <v>6500</v>
      </c>
      <c r="F4" s="11">
        <f>+Ventas!B6</f>
        <v>6000</v>
      </c>
      <c r="G4" s="11">
        <f>+Ventas!B7</f>
        <v>5000</v>
      </c>
      <c r="H4" s="11">
        <f>+Ventas!B8</f>
        <v>4000</v>
      </c>
      <c r="I4" s="11">
        <f>+Ventas!B9</f>
        <v>3000</v>
      </c>
    </row>
    <row r="5" spans="1:10">
      <c r="A5" s="8" t="s">
        <v>10</v>
      </c>
      <c r="B5" s="11">
        <f>+B3*B4</f>
        <v>360000</v>
      </c>
      <c r="C5" s="11">
        <f t="shared" ref="C5:I5" si="0">+C3*C4</f>
        <v>600000</v>
      </c>
      <c r="D5" s="11">
        <f t="shared" si="0"/>
        <v>720000</v>
      </c>
      <c r="E5" s="11">
        <f t="shared" si="0"/>
        <v>715000</v>
      </c>
      <c r="F5" s="11">
        <f t="shared" si="0"/>
        <v>660000</v>
      </c>
      <c r="G5" s="11">
        <f t="shared" si="0"/>
        <v>550000</v>
      </c>
      <c r="H5" s="11">
        <f t="shared" si="0"/>
        <v>440000</v>
      </c>
      <c r="I5" s="11">
        <f t="shared" si="0"/>
        <v>330000</v>
      </c>
    </row>
    <row r="6" spans="1:10">
      <c r="A6" s="8" t="s">
        <v>11</v>
      </c>
      <c r="B6" s="11">
        <f>60*B4</f>
        <v>180000</v>
      </c>
      <c r="C6" s="11">
        <f t="shared" ref="C6:I6" si="1">60*C4</f>
        <v>300000</v>
      </c>
      <c r="D6" s="11">
        <f t="shared" si="1"/>
        <v>360000</v>
      </c>
      <c r="E6" s="11">
        <f t="shared" si="1"/>
        <v>390000</v>
      </c>
      <c r="F6" s="11">
        <f t="shared" si="1"/>
        <v>360000</v>
      </c>
      <c r="G6" s="11">
        <f t="shared" si="1"/>
        <v>300000</v>
      </c>
      <c r="H6" s="11">
        <f t="shared" si="1"/>
        <v>240000</v>
      </c>
      <c r="I6" s="11">
        <f t="shared" si="1"/>
        <v>180000</v>
      </c>
    </row>
    <row r="7" spans="1:10">
      <c r="A7" s="8" t="s">
        <v>12</v>
      </c>
      <c r="B7" s="11">
        <v>25000</v>
      </c>
      <c r="C7" s="11">
        <v>25000</v>
      </c>
      <c r="D7" s="11">
        <v>25000</v>
      </c>
      <c r="E7" s="11">
        <v>25000</v>
      </c>
      <c r="F7" s="11">
        <v>25000</v>
      </c>
      <c r="G7" s="11">
        <v>25000</v>
      </c>
      <c r="H7" s="11">
        <v>25000</v>
      </c>
      <c r="I7" s="11">
        <v>25000</v>
      </c>
    </row>
    <row r="8" spans="1:10">
      <c r="A8" s="8" t="s">
        <v>6</v>
      </c>
      <c r="B8" s="11">
        <f>+Depreciación!C19</f>
        <v>142222.22222222222</v>
      </c>
      <c r="C8" s="11">
        <f>+Depreciación!C20</f>
        <v>124444.44444444445</v>
      </c>
      <c r="D8" s="11">
        <f>+Depreciación!C21</f>
        <v>106666.66666666666</v>
      </c>
      <c r="E8" s="11">
        <f>+Depreciación!C22</f>
        <v>88888.888888888891</v>
      </c>
      <c r="F8" s="11">
        <f>+Depreciación!C23</f>
        <v>71111.111111111109</v>
      </c>
      <c r="G8" s="11">
        <f>+Depreciación!C24</f>
        <v>53333.333333333328</v>
      </c>
      <c r="H8" s="11">
        <f>+Depreciación!C25</f>
        <v>35555.555555555555</v>
      </c>
      <c r="I8" s="11">
        <f>+Depreciación!C26</f>
        <v>17777.777777777777</v>
      </c>
    </row>
    <row r="9" spans="1:10">
      <c r="A9" s="8" t="s">
        <v>111</v>
      </c>
      <c r="B9" s="11">
        <f>+Prestamo!D10</f>
        <v>192000</v>
      </c>
      <c r="C9" s="11">
        <f>+Prestamo!D11</f>
        <v>143879.69924812031</v>
      </c>
      <c r="D9" s="11">
        <f>+Prestamo!D12</f>
        <v>81323.308270676702</v>
      </c>
      <c r="E9" s="11"/>
      <c r="F9" s="11"/>
      <c r="G9" s="11"/>
      <c r="H9" s="11"/>
      <c r="I9" s="11"/>
    </row>
    <row r="10" spans="1:10" s="49" customFormat="1">
      <c r="A10" s="49" t="s">
        <v>13</v>
      </c>
      <c r="B10" s="50">
        <f>+B5-B6-B7-B8-B9</f>
        <v>-179222.22222222222</v>
      </c>
      <c r="C10" s="50">
        <f t="shared" ref="C10:I10" si="2">+C5-C6-C7-C8-C9</f>
        <v>6675.8563074352569</v>
      </c>
      <c r="D10" s="50">
        <f t="shared" si="2"/>
        <v>147010.02506265664</v>
      </c>
      <c r="E10" s="50">
        <f t="shared" si="2"/>
        <v>211111.11111111112</v>
      </c>
      <c r="F10" s="50">
        <f t="shared" si="2"/>
        <v>203888.88888888888</v>
      </c>
      <c r="G10" s="50">
        <f t="shared" si="2"/>
        <v>171666.66666666669</v>
      </c>
      <c r="H10" s="50">
        <f t="shared" si="2"/>
        <v>139444.44444444444</v>
      </c>
      <c r="I10" s="50">
        <f t="shared" si="2"/>
        <v>107222.22222222222</v>
      </c>
    </row>
    <row r="11" spans="1:10">
      <c r="A11" s="8" t="s">
        <v>58</v>
      </c>
      <c r="B11" s="11">
        <f>IF(B10&lt;0, 0, B10*0.35)</f>
        <v>0</v>
      </c>
      <c r="C11" s="11">
        <f t="shared" ref="C11:I11" si="3">IF(C10&lt;0, 0, C10*0.35)</f>
        <v>2336.5497076023398</v>
      </c>
      <c r="D11" s="11">
        <f t="shared" si="3"/>
        <v>51453.508771929824</v>
      </c>
      <c r="E11" s="11">
        <f t="shared" si="3"/>
        <v>73888.888888888891</v>
      </c>
      <c r="F11" s="11">
        <f t="shared" si="3"/>
        <v>71361.111111111095</v>
      </c>
      <c r="G11" s="11">
        <f t="shared" si="3"/>
        <v>60083.333333333336</v>
      </c>
      <c r="H11" s="11">
        <f t="shared" si="3"/>
        <v>48805.555555555547</v>
      </c>
      <c r="I11" s="11">
        <f t="shared" si="3"/>
        <v>37527.777777777774</v>
      </c>
      <c r="J11" s="11"/>
    </row>
    <row r="12" spans="1:10" s="49" customFormat="1">
      <c r="A12" s="49" t="s">
        <v>14</v>
      </c>
      <c r="B12" s="50">
        <f>+B10-B11</f>
        <v>-179222.22222222222</v>
      </c>
      <c r="C12" s="50">
        <f t="shared" ref="C12:I12" si="4">+C10-C11</f>
        <v>4339.3065998329166</v>
      </c>
      <c r="D12" s="50">
        <f t="shared" si="4"/>
        <v>95556.51629072681</v>
      </c>
      <c r="E12" s="50">
        <f t="shared" si="4"/>
        <v>137222.22222222225</v>
      </c>
      <c r="F12" s="50">
        <f t="shared" si="4"/>
        <v>132527.77777777778</v>
      </c>
      <c r="G12" s="50">
        <f t="shared" si="4"/>
        <v>111583.33333333334</v>
      </c>
      <c r="H12" s="50">
        <f t="shared" si="4"/>
        <v>90638.888888888891</v>
      </c>
      <c r="I12" s="50">
        <f t="shared" si="4"/>
        <v>69694.444444444438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B1" sqref="B1:J1"/>
    </sheetView>
  </sheetViews>
  <sheetFormatPr baseColWidth="10" defaultRowHeight="16"/>
  <cols>
    <col min="1" max="1" width="44.140625" style="8" customWidth="1"/>
    <col min="2" max="2" width="12.7109375" style="8" customWidth="1"/>
    <col min="3" max="16384" width="10.7109375" style="8"/>
  </cols>
  <sheetData>
    <row r="1" spans="1:10">
      <c r="B1" s="51" t="s">
        <v>36</v>
      </c>
      <c r="C1" s="51" t="s">
        <v>15</v>
      </c>
      <c r="D1" s="51" t="s">
        <v>16</v>
      </c>
      <c r="E1" s="51" t="s">
        <v>17</v>
      </c>
      <c r="F1" s="51" t="s">
        <v>18</v>
      </c>
      <c r="G1" s="51" t="s">
        <v>19</v>
      </c>
      <c r="H1" s="51" t="s">
        <v>20</v>
      </c>
      <c r="I1" s="51" t="s">
        <v>21</v>
      </c>
      <c r="J1" s="51" t="s">
        <v>22</v>
      </c>
    </row>
    <row r="2" spans="1:10">
      <c r="A2" s="9" t="s">
        <v>25</v>
      </c>
      <c r="B2" s="10"/>
      <c r="C2" s="11"/>
      <c r="D2" s="11"/>
      <c r="E2" s="11"/>
      <c r="F2" s="11"/>
      <c r="G2" s="11"/>
      <c r="H2" s="11"/>
      <c r="I2" s="11"/>
      <c r="J2" s="11"/>
    </row>
    <row r="3" spans="1:10">
      <c r="A3" s="8" t="s">
        <v>26</v>
      </c>
      <c r="B3" s="11"/>
      <c r="C3" s="11">
        <f>+'Est Res Pres'!B10</f>
        <v>-179222.22222222222</v>
      </c>
      <c r="D3" s="11">
        <f>+'Est Res Pres'!C10</f>
        <v>6675.8563074352569</v>
      </c>
      <c r="E3" s="11">
        <f>+'Est Res Pres'!D10</f>
        <v>147010.02506265664</v>
      </c>
      <c r="F3" s="11">
        <f>+'Est Res Pres'!E10</f>
        <v>211111.11111111112</v>
      </c>
      <c r="G3" s="11">
        <f>+'Est Res Pres'!F10</f>
        <v>203888.88888888888</v>
      </c>
      <c r="H3" s="11">
        <f>+'Est Res Pres'!G10</f>
        <v>171666.66666666669</v>
      </c>
      <c r="I3" s="11">
        <f>+'Est Res Pres'!H10</f>
        <v>139444.44444444444</v>
      </c>
      <c r="J3" s="11">
        <f>+'Est Res Pres'!I10</f>
        <v>107222.22222222222</v>
      </c>
    </row>
    <row r="4" spans="1:10">
      <c r="A4" s="8" t="s">
        <v>6</v>
      </c>
      <c r="B4" s="11"/>
      <c r="C4" s="11">
        <f>+'Est Res Pres'!B8</f>
        <v>142222.22222222222</v>
      </c>
      <c r="D4" s="11">
        <f>+'Est Res Pres'!C8</f>
        <v>124444.44444444445</v>
      </c>
      <c r="E4" s="11">
        <f>+'Est Res Pres'!D8</f>
        <v>106666.66666666666</v>
      </c>
      <c r="F4" s="11">
        <f>+'Est Res Pres'!E8</f>
        <v>88888.888888888891</v>
      </c>
      <c r="G4" s="11">
        <f>+'Est Res Pres'!F8</f>
        <v>71111.111111111109</v>
      </c>
      <c r="H4" s="11">
        <f>+'Est Res Pres'!G8</f>
        <v>53333.333333333328</v>
      </c>
      <c r="I4" s="11">
        <f>+'Est Res Pres'!H8</f>
        <v>35555.555555555555</v>
      </c>
      <c r="J4" s="11">
        <f>+'Est Res Pres'!I8</f>
        <v>17777.777777777777</v>
      </c>
    </row>
    <row r="5" spans="1:10">
      <c r="A5" s="8" t="s">
        <v>28</v>
      </c>
      <c r="B5" s="11"/>
      <c r="C5" s="11">
        <f>-'Est Res Pres'!B11</f>
        <v>0</v>
      </c>
      <c r="D5" s="11">
        <f>-'Est Res Pres'!C11</f>
        <v>-2336.5497076023398</v>
      </c>
      <c r="E5" s="11">
        <f>-'Est Res Pres'!D11</f>
        <v>-51453.508771929824</v>
      </c>
      <c r="F5" s="11">
        <f>-'Est Res Pres'!E11</f>
        <v>-73888.888888888891</v>
      </c>
      <c r="G5" s="11">
        <f>-'Est Res Pres'!F11</f>
        <v>-71361.111111111095</v>
      </c>
      <c r="H5" s="11">
        <f>-'Est Res Pres'!G11</f>
        <v>-60083.333333333336</v>
      </c>
      <c r="I5" s="11">
        <f>-'Est Res Pres'!H11</f>
        <v>-48805.555555555547</v>
      </c>
      <c r="J5" s="11">
        <f>-'Est Res Pres'!I11</f>
        <v>-37527.777777777774</v>
      </c>
    </row>
    <row r="6" spans="1:10">
      <c r="A6" s="8" t="s">
        <v>55</v>
      </c>
      <c r="B6" s="11"/>
      <c r="C6" s="11">
        <f>-'Est Res Pres'!B9</f>
        <v>-192000</v>
      </c>
      <c r="D6" s="11">
        <f>-'Est Res Pres'!C9</f>
        <v>-143879.69924812031</v>
      </c>
      <c r="E6" s="11">
        <f>-'Est Res Pres'!D9</f>
        <v>-81323.308270676702</v>
      </c>
      <c r="F6" s="11">
        <f>-'Est Res Pres'!E9</f>
        <v>0</v>
      </c>
      <c r="G6" s="11">
        <f>-'Est Res Pres'!F9</f>
        <v>0</v>
      </c>
      <c r="H6" s="11">
        <f>-'Est Res Pres'!G9</f>
        <v>0</v>
      </c>
      <c r="I6" s="11">
        <f>-'Est Res Pres'!H9</f>
        <v>0</v>
      </c>
      <c r="J6" s="11">
        <f>-'Est Res Pres'!I9</f>
        <v>0</v>
      </c>
    </row>
    <row r="7" spans="1:10">
      <c r="A7" s="12" t="s">
        <v>37</v>
      </c>
      <c r="B7" s="13"/>
      <c r="C7" s="13">
        <f>SUM(C3:C6)</f>
        <v>-229000</v>
      </c>
      <c r="D7" s="13">
        <f t="shared" ref="D7:J7" si="0">SUM(D3:D6)</f>
        <v>-15095.948203842956</v>
      </c>
      <c r="E7" s="13">
        <f t="shared" si="0"/>
        <v>120899.87468671676</v>
      </c>
      <c r="F7" s="13">
        <f t="shared" si="0"/>
        <v>226111.11111111112</v>
      </c>
      <c r="G7" s="13">
        <f t="shared" si="0"/>
        <v>203638.88888888891</v>
      </c>
      <c r="H7" s="13">
        <f t="shared" si="0"/>
        <v>164916.66666666666</v>
      </c>
      <c r="I7" s="13">
        <f t="shared" si="0"/>
        <v>126194.44444444445</v>
      </c>
      <c r="J7" s="13">
        <f t="shared" si="0"/>
        <v>87472.222222222219</v>
      </c>
    </row>
    <row r="8" spans="1:10">
      <c r="A8" s="9" t="s">
        <v>29</v>
      </c>
      <c r="B8" s="10"/>
      <c r="C8" s="11"/>
      <c r="D8" s="11"/>
      <c r="E8" s="11"/>
      <c r="F8" s="11"/>
      <c r="G8" s="11"/>
      <c r="H8" s="11"/>
      <c r="I8" s="11"/>
      <c r="J8" s="11"/>
    </row>
    <row r="9" spans="1:10">
      <c r="A9" s="8" t="s">
        <v>30</v>
      </c>
      <c r="B9" s="11">
        <f>+'Cap Trabajo Neto'!D2</f>
        <v>-20000</v>
      </c>
      <c r="D9" s="11"/>
      <c r="E9" s="11"/>
      <c r="F9" s="11"/>
      <c r="G9" s="11"/>
      <c r="H9" s="11"/>
      <c r="I9" s="11"/>
      <c r="J9" s="11"/>
    </row>
    <row r="10" spans="1:10">
      <c r="A10" s="8" t="s">
        <v>31</v>
      </c>
      <c r="B10" s="11"/>
      <c r="C10" s="11">
        <f>+'Cap Trabajo Neto'!D3</f>
        <v>-34000</v>
      </c>
      <c r="D10" s="11">
        <f>+'Cap Trabajo Neto'!D4</f>
        <v>-36000</v>
      </c>
      <c r="E10" s="11">
        <f>+'Cap Trabajo Neto'!D5</f>
        <v>-18000</v>
      </c>
      <c r="F10" s="11">
        <f>+'Cap Trabajo Neto'!D6</f>
        <v>750</v>
      </c>
      <c r="G10" s="11">
        <f>+'Cap Trabajo Neto'!D7</f>
        <v>8250</v>
      </c>
      <c r="H10" s="11">
        <f>+'Cap Trabajo Neto'!D8</f>
        <v>16500</v>
      </c>
      <c r="I10" s="11">
        <f>+'Cap Trabajo Neto'!D9</f>
        <v>16500</v>
      </c>
      <c r="J10" s="11">
        <f>+'Cap Trabajo Neto'!D10</f>
        <v>16500</v>
      </c>
    </row>
    <row r="11" spans="1:10">
      <c r="A11" s="8" t="s">
        <v>32</v>
      </c>
      <c r="B11" s="11"/>
      <c r="C11" s="11"/>
      <c r="D11" s="11"/>
      <c r="E11" s="11"/>
      <c r="F11" s="11"/>
      <c r="G11" s="11"/>
      <c r="H11" s="11"/>
      <c r="I11" s="11"/>
      <c r="J11" s="11">
        <f>+'Cap Trabajo Neto'!C10</f>
        <v>49500</v>
      </c>
    </row>
    <row r="12" spans="1:10">
      <c r="A12" s="12" t="s">
        <v>38</v>
      </c>
      <c r="B12" s="13">
        <f>+B9+B10+B11</f>
        <v>-20000</v>
      </c>
      <c r="C12" s="13">
        <f t="shared" ref="C12:J12" si="1">+C9+C10+C11</f>
        <v>-34000</v>
      </c>
      <c r="D12" s="13">
        <f t="shared" si="1"/>
        <v>-36000</v>
      </c>
      <c r="E12" s="13">
        <f t="shared" si="1"/>
        <v>-18000</v>
      </c>
      <c r="F12" s="13">
        <f t="shared" si="1"/>
        <v>750</v>
      </c>
      <c r="G12" s="13">
        <f t="shared" si="1"/>
        <v>8250</v>
      </c>
      <c r="H12" s="13">
        <f t="shared" si="1"/>
        <v>16500</v>
      </c>
      <c r="I12" s="13">
        <f t="shared" si="1"/>
        <v>16500</v>
      </c>
      <c r="J12" s="13">
        <f t="shared" si="1"/>
        <v>66000</v>
      </c>
    </row>
    <row r="13" spans="1:10">
      <c r="A13" s="9" t="s">
        <v>33</v>
      </c>
      <c r="B13" s="10"/>
      <c r="C13" s="11"/>
      <c r="D13" s="11"/>
      <c r="E13" s="11"/>
      <c r="F13" s="11"/>
      <c r="G13" s="11"/>
      <c r="H13" s="11"/>
      <c r="I13" s="11"/>
      <c r="J13" s="11"/>
    </row>
    <row r="14" spans="1:10">
      <c r="A14" s="8" t="s">
        <v>34</v>
      </c>
      <c r="B14" s="11">
        <f>-800000*0.2</f>
        <v>-160000</v>
      </c>
      <c r="D14" s="11"/>
      <c r="E14" s="11"/>
      <c r="F14" s="11"/>
      <c r="G14" s="11"/>
      <c r="H14" s="11"/>
      <c r="I14" s="11"/>
      <c r="J14" s="11"/>
    </row>
    <row r="15" spans="1:10">
      <c r="A15" s="8" t="s">
        <v>35</v>
      </c>
      <c r="B15" s="11"/>
      <c r="C15" s="11"/>
      <c r="D15" s="11"/>
      <c r="E15" s="11"/>
      <c r="F15" s="11"/>
      <c r="G15" s="11"/>
      <c r="H15" s="11"/>
      <c r="I15" s="11"/>
      <c r="J15" s="11">
        <f>-B14*0.2+B14*0.2*0.34</f>
        <v>21120</v>
      </c>
    </row>
    <row r="16" spans="1:10">
      <c r="A16" s="8" t="s">
        <v>56</v>
      </c>
      <c r="B16" s="11"/>
      <c r="C16" s="11">
        <f>-Prestamo!C10</f>
        <v>-160401.00250626565</v>
      </c>
      <c r="D16" s="11">
        <f>-Prestamo!C11</f>
        <v>-208521.30325814534</v>
      </c>
      <c r="E16" s="11">
        <f>-Prestamo!C12</f>
        <v>-271077.69423558895</v>
      </c>
      <c r="F16" s="11"/>
      <c r="G16" s="11"/>
      <c r="H16" s="11"/>
      <c r="I16" s="11"/>
      <c r="J16" s="11"/>
    </row>
    <row r="17" spans="1:10">
      <c r="A17" s="12" t="s">
        <v>39</v>
      </c>
      <c r="B17" s="13">
        <f>+B14+B15+B16</f>
        <v>-160000</v>
      </c>
      <c r="C17" s="13">
        <f t="shared" ref="C17:J17" si="2">+C14+C15+C16</f>
        <v>-160401.00250626565</v>
      </c>
      <c r="D17" s="13">
        <f t="shared" si="2"/>
        <v>-208521.30325814534</v>
      </c>
      <c r="E17" s="13">
        <f t="shared" si="2"/>
        <v>-271077.69423558895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21120</v>
      </c>
    </row>
    <row r="19" spans="1:10">
      <c r="A19" s="15" t="s">
        <v>57</v>
      </c>
      <c r="B19" s="15">
        <f>+B7+B12+B17</f>
        <v>-180000</v>
      </c>
      <c r="C19" s="15">
        <f t="shared" ref="C19:J19" si="3">+C7+C12+C17</f>
        <v>-423401.00250626565</v>
      </c>
      <c r="D19" s="15">
        <f t="shared" si="3"/>
        <v>-259617.25146198831</v>
      </c>
      <c r="E19" s="15">
        <f t="shared" si="3"/>
        <v>-168177.81954887218</v>
      </c>
      <c r="F19" s="15">
        <f t="shared" si="3"/>
        <v>226861.11111111112</v>
      </c>
      <c r="G19" s="15">
        <f t="shared" si="3"/>
        <v>211888.88888888891</v>
      </c>
      <c r="H19" s="15">
        <f t="shared" si="3"/>
        <v>181416.66666666666</v>
      </c>
      <c r="I19" s="15">
        <f t="shared" si="3"/>
        <v>142694.44444444444</v>
      </c>
      <c r="J19" s="15">
        <f t="shared" si="3"/>
        <v>174592.22222222222</v>
      </c>
    </row>
    <row r="22" spans="1:10">
      <c r="A22" s="17" t="s">
        <v>41</v>
      </c>
      <c r="B22" s="9">
        <f>NPV(0.15,C19:J19)+B19</f>
        <v>-430857.50352966716</v>
      </c>
    </row>
    <row r="23" spans="1:10">
      <c r="A23" s="17" t="s">
        <v>42</v>
      </c>
      <c r="B23" s="28">
        <f>IRR(B19:J19)</f>
        <v>-2.1314788752892055E-2</v>
      </c>
    </row>
    <row r="24" spans="1:10">
      <c r="A24" s="17"/>
      <c r="B24" s="1"/>
      <c r="C24" s="2"/>
      <c r="D24" s="18"/>
    </row>
    <row r="25" spans="1:10">
      <c r="B25" s="2"/>
      <c r="C2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Ventas</vt:lpstr>
      <vt:lpstr>Depreciación</vt:lpstr>
      <vt:lpstr>Est Resultados</vt:lpstr>
      <vt:lpstr>Cap Trabajo Neto</vt:lpstr>
      <vt:lpstr>Efectivo Por Partes</vt:lpstr>
      <vt:lpstr>Efectivo Total</vt:lpstr>
      <vt:lpstr>Prestamo</vt:lpstr>
      <vt:lpstr>Est Res Pres</vt:lpstr>
      <vt:lpstr>ET con Prestamo</vt:lpstr>
    </vt:vector>
  </TitlesOfParts>
  <Company>Consultor en Programas y Proyectos de Desarrollo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Terán Carreón</dc:creator>
  <cp:lastModifiedBy>José Antonio Terán Carreón</cp:lastModifiedBy>
  <dcterms:created xsi:type="dcterms:W3CDTF">2018-01-22T20:03:23Z</dcterms:created>
  <dcterms:modified xsi:type="dcterms:W3CDTF">2018-07-19T14:50:18Z</dcterms:modified>
</cp:coreProperties>
</file>