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seAntonio/Documents/Proyectos 2018/CIDES GAMLP/Plan de Clases Final/CLASES/DOCS CLASES/"/>
    </mc:Choice>
  </mc:AlternateContent>
  <xr:revisionPtr revIDLastSave="0" documentId="13_ncr:1_{07949AB9-C69D-C841-BC63-A6C43BB38F0A}" xr6:coauthVersionLast="34" xr6:coauthVersionMax="34" xr10:uidLastSave="{00000000-0000-0000-0000-000000000000}"/>
  <bookViews>
    <workbookView xWindow="240" yWindow="460" windowWidth="31520" windowHeight="20960" xr2:uid="{00000000-000D-0000-FFFF-FFFF00000000}"/>
  </bookViews>
  <sheets>
    <sheet name="Resultados e Inv Priv" sheetId="1" r:id="rId1"/>
    <sheet name="Prestamo" sheetId="5" r:id="rId2"/>
    <sheet name="Efectivo Priv" sheetId="3" r:id="rId3"/>
    <sheet name="Evaluación Priv" sheetId="4" r:id="rId4"/>
    <sheet name="Result E Inv Social" sheetId="6" r:id="rId5"/>
    <sheet name="Efectivo Soc" sheetId="7" r:id="rId6"/>
    <sheet name="Eval Soc" sheetId="8" r:id="rId7"/>
  </sheet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3" i="4" l="1"/>
  <c r="B21" i="4"/>
  <c r="B20" i="8"/>
  <c r="B22" i="8" s="1"/>
  <c r="E16" i="4"/>
  <c r="D16" i="4"/>
  <c r="C16" i="4"/>
  <c r="B16" i="4"/>
  <c r="E4" i="4"/>
  <c r="D4" i="4"/>
  <c r="C4" i="4"/>
  <c r="B4" i="4"/>
  <c r="D15" i="3"/>
  <c r="E15" i="3"/>
  <c r="C15" i="3"/>
  <c r="B13" i="3"/>
  <c r="C15" i="8" l="1"/>
  <c r="D15" i="8"/>
  <c r="E15" i="8"/>
  <c r="F15" i="8"/>
  <c r="G15" i="8"/>
  <c r="H15" i="8"/>
  <c r="I15" i="8"/>
  <c r="J15" i="8"/>
  <c r="K15" i="8"/>
  <c r="L15" i="8"/>
  <c r="C3" i="8"/>
  <c r="D3" i="8"/>
  <c r="E3" i="8"/>
  <c r="F3" i="8"/>
  <c r="G3" i="8"/>
  <c r="H3" i="8"/>
  <c r="I3" i="8"/>
  <c r="J3" i="8"/>
  <c r="K3" i="8"/>
  <c r="L3" i="8"/>
  <c r="C4" i="8"/>
  <c r="D4" i="8"/>
  <c r="E4" i="8"/>
  <c r="F4" i="8"/>
  <c r="G4" i="8"/>
  <c r="H4" i="8"/>
  <c r="I4" i="8"/>
  <c r="J4" i="8"/>
  <c r="K4" i="8"/>
  <c r="L4" i="8"/>
  <c r="B3" i="8"/>
  <c r="B23" i="8"/>
  <c r="L13" i="7"/>
  <c r="K13" i="7"/>
  <c r="J13" i="7"/>
  <c r="I13" i="7"/>
  <c r="H13" i="7"/>
  <c r="G13" i="7"/>
  <c r="F13" i="7"/>
  <c r="E13" i="7"/>
  <c r="D13" i="7"/>
  <c r="C13" i="7"/>
  <c r="L9" i="7"/>
  <c r="K9" i="7"/>
  <c r="J9" i="7"/>
  <c r="I9" i="7"/>
  <c r="H9" i="7"/>
  <c r="G9" i="7"/>
  <c r="F9" i="7"/>
  <c r="E9" i="7"/>
  <c r="D9" i="7"/>
  <c r="C9" i="7"/>
  <c r="B9" i="7"/>
  <c r="C12" i="6"/>
  <c r="C11" i="6"/>
  <c r="C10" i="6"/>
  <c r="C9" i="6"/>
  <c r="C8" i="6" s="1"/>
  <c r="I16" i="6"/>
  <c r="J16" i="6"/>
  <c r="K16" i="6"/>
  <c r="L16" i="6"/>
  <c r="M16" i="6"/>
  <c r="I17" i="6"/>
  <c r="J17" i="6"/>
  <c r="K17" i="6"/>
  <c r="L17" i="6"/>
  <c r="M17" i="6"/>
  <c r="I18" i="6"/>
  <c r="J18" i="6"/>
  <c r="K18" i="6"/>
  <c r="L18" i="6"/>
  <c r="M18" i="6"/>
  <c r="I20" i="6"/>
  <c r="J20" i="6"/>
  <c r="K20" i="6"/>
  <c r="L20" i="6"/>
  <c r="M20" i="6"/>
  <c r="H20" i="6"/>
  <c r="G20" i="6"/>
  <c r="F20" i="6"/>
  <c r="E20" i="6"/>
  <c r="D20" i="6"/>
  <c r="H18" i="6"/>
  <c r="G18" i="6"/>
  <c r="F18" i="6"/>
  <c r="E18" i="6"/>
  <c r="D18" i="6"/>
  <c r="H17" i="6"/>
  <c r="G17" i="6"/>
  <c r="F17" i="6"/>
  <c r="E17" i="6"/>
  <c r="D17" i="6"/>
  <c r="H16" i="6"/>
  <c r="G16" i="6"/>
  <c r="F16" i="6"/>
  <c r="E16" i="6"/>
  <c r="D16" i="6"/>
  <c r="C15" i="6"/>
  <c r="C23" i="6" s="1"/>
  <c r="B3" i="7" s="1"/>
  <c r="B4" i="7" s="1"/>
  <c r="B2" i="8" s="1"/>
  <c r="B24" i="4"/>
  <c r="K16" i="4"/>
  <c r="L16" i="4"/>
  <c r="H3" i="4"/>
  <c r="I3" i="4"/>
  <c r="J3" i="4"/>
  <c r="K3" i="4"/>
  <c r="L3" i="4"/>
  <c r="H4" i="4"/>
  <c r="I4" i="4"/>
  <c r="J4" i="4"/>
  <c r="K4" i="4"/>
  <c r="L4" i="4"/>
  <c r="H16" i="4"/>
  <c r="I16" i="4"/>
  <c r="J16" i="4"/>
  <c r="C3" i="4"/>
  <c r="D3" i="4"/>
  <c r="E3" i="4"/>
  <c r="F3" i="4"/>
  <c r="G3" i="4"/>
  <c r="B3" i="4"/>
  <c r="H11" i="3"/>
  <c r="I11" i="3"/>
  <c r="J11" i="3"/>
  <c r="K11" i="3"/>
  <c r="L11" i="3"/>
  <c r="H16" i="3"/>
  <c r="I16" i="3"/>
  <c r="J16" i="3"/>
  <c r="K16" i="3"/>
  <c r="L16" i="3"/>
  <c r="I20" i="1"/>
  <c r="J20" i="1"/>
  <c r="K20" i="1"/>
  <c r="L20" i="1"/>
  <c r="M20" i="1"/>
  <c r="C16" i="3"/>
  <c r="D16" i="3"/>
  <c r="E16" i="3"/>
  <c r="F16" i="3"/>
  <c r="F16" i="4" s="1"/>
  <c r="G16" i="3"/>
  <c r="G16" i="4" s="1"/>
  <c r="C4" i="3"/>
  <c r="F17" i="1"/>
  <c r="E17" i="1"/>
  <c r="D17" i="1"/>
  <c r="B3" i="5"/>
  <c r="E9" i="5"/>
  <c r="G11" i="3"/>
  <c r="F11" i="3"/>
  <c r="E11" i="3"/>
  <c r="D11" i="3"/>
  <c r="C11" i="3"/>
  <c r="B11" i="3"/>
  <c r="B15" i="8" l="1"/>
  <c r="B16" i="8" s="1"/>
  <c r="B11" i="7"/>
  <c r="B13" i="7" s="1"/>
  <c r="B4" i="8" s="1"/>
  <c r="B5" i="8" s="1"/>
  <c r="B8" i="8" s="1"/>
  <c r="G15" i="6"/>
  <c r="G14" i="8" s="1"/>
  <c r="G16" i="8" s="1"/>
  <c r="K15" i="6"/>
  <c r="F15" i="6"/>
  <c r="F14" i="8" s="1"/>
  <c r="F16" i="8" s="1"/>
  <c r="C14" i="8"/>
  <c r="C16" i="8" s="1"/>
  <c r="G4" i="4"/>
  <c r="F4" i="4"/>
  <c r="L15" i="6"/>
  <c r="L14" i="8" s="1"/>
  <c r="L16" i="8" s="1"/>
  <c r="L23" i="6"/>
  <c r="K3" i="7" s="1"/>
  <c r="K4" i="7" s="1"/>
  <c r="K2" i="8" s="1"/>
  <c r="K5" i="8" s="1"/>
  <c r="K8" i="8" s="1"/>
  <c r="F23" i="6"/>
  <c r="E3" i="7" s="1"/>
  <c r="E4" i="7" s="1"/>
  <c r="E2" i="8" s="1"/>
  <c r="E5" i="8" s="1"/>
  <c r="E8" i="8" s="1"/>
  <c r="E15" i="6"/>
  <c r="D15" i="6"/>
  <c r="H15" i="6"/>
  <c r="H14" i="8" s="1"/>
  <c r="H16" i="8" s="1"/>
  <c r="J15" i="6"/>
  <c r="M15" i="6"/>
  <c r="M23" i="6" s="1"/>
  <c r="L3" i="7" s="1"/>
  <c r="L4" i="7" s="1"/>
  <c r="L2" i="8" s="1"/>
  <c r="L5" i="8" s="1"/>
  <c r="L8" i="8" s="1"/>
  <c r="I15" i="6"/>
  <c r="H23" i="6"/>
  <c r="G3" i="7" s="1"/>
  <c r="G4" i="7" s="1"/>
  <c r="G2" i="8" s="1"/>
  <c r="G5" i="8" s="1"/>
  <c r="G8" i="8" s="1"/>
  <c r="D10" i="5"/>
  <c r="B6" i="5"/>
  <c r="K23" i="6" l="1"/>
  <c r="J3" i="7" s="1"/>
  <c r="J4" i="7" s="1"/>
  <c r="J2" i="8" s="1"/>
  <c r="J5" i="8" s="1"/>
  <c r="J8" i="8" s="1"/>
  <c r="K14" i="8"/>
  <c r="K16" i="8" s="1"/>
  <c r="I23" i="6"/>
  <c r="H3" i="7" s="1"/>
  <c r="H4" i="7" s="1"/>
  <c r="H2" i="8" s="1"/>
  <c r="H5" i="8" s="1"/>
  <c r="H8" i="8" s="1"/>
  <c r="I14" i="8"/>
  <c r="I16" i="8" s="1"/>
  <c r="D23" i="6"/>
  <c r="C3" i="7" s="1"/>
  <c r="C4" i="7" s="1"/>
  <c r="C2" i="8" s="1"/>
  <c r="C5" i="8" s="1"/>
  <c r="D14" i="8"/>
  <c r="D16" i="8" s="1"/>
  <c r="G23" i="6"/>
  <c r="F3" i="7" s="1"/>
  <c r="F4" i="7" s="1"/>
  <c r="F2" i="8" s="1"/>
  <c r="F5" i="8" s="1"/>
  <c r="F8" i="8" s="1"/>
  <c r="J23" i="6"/>
  <c r="I3" i="7" s="1"/>
  <c r="I4" i="7" s="1"/>
  <c r="I2" i="8" s="1"/>
  <c r="I5" i="8" s="1"/>
  <c r="I8" i="8" s="1"/>
  <c r="J14" i="8"/>
  <c r="J16" i="8" s="1"/>
  <c r="E23" i="6"/>
  <c r="D3" i="7" s="1"/>
  <c r="D4" i="7" s="1"/>
  <c r="D2" i="8" s="1"/>
  <c r="D5" i="8" s="1"/>
  <c r="D8" i="8" s="1"/>
  <c r="E14" i="8"/>
  <c r="E16" i="8" s="1"/>
  <c r="D9" i="8"/>
  <c r="B12" i="5"/>
  <c r="B11" i="5"/>
  <c r="B10" i="5"/>
  <c r="C10" i="5" s="1"/>
  <c r="E10" i="5" s="1"/>
  <c r="B19" i="8" l="1"/>
  <c r="B21" i="8" s="1"/>
  <c r="B24" i="8"/>
  <c r="B25" i="8"/>
  <c r="C8" i="8"/>
  <c r="D11" i="5"/>
  <c r="C11" i="5"/>
  <c r="E11" i="5" s="1"/>
  <c r="B10" i="8" l="1"/>
  <c r="B11" i="8"/>
  <c r="D12" i="5"/>
  <c r="C12" i="5" s="1"/>
  <c r="E12" i="5" s="1"/>
  <c r="C10" i="1" l="1"/>
  <c r="C9" i="1"/>
  <c r="C8" i="1"/>
  <c r="C7" i="1"/>
  <c r="D13" i="1" l="1"/>
  <c r="C15" i="4" s="1"/>
  <c r="C17" i="4" s="1"/>
  <c r="D4" i="3"/>
  <c r="C13" i="1"/>
  <c r="C6" i="1"/>
  <c r="B16" i="3" s="1"/>
  <c r="D20" i="1"/>
  <c r="F20" i="1"/>
  <c r="E20" i="1"/>
  <c r="G20" i="1"/>
  <c r="H20" i="1"/>
  <c r="B17" i="4" l="1"/>
  <c r="C24" i="1"/>
  <c r="E4" i="3"/>
  <c r="D24" i="1"/>
  <c r="B3" i="3" l="1"/>
  <c r="B6" i="3" s="1"/>
  <c r="B2" i="4" s="1"/>
  <c r="B5" i="4" s="1"/>
  <c r="C3" i="3"/>
  <c r="C6" i="3" s="1"/>
  <c r="E13" i="1"/>
  <c r="D15" i="4" s="1"/>
  <c r="D17" i="4" s="1"/>
  <c r="F4" i="3"/>
  <c r="F13" i="1"/>
  <c r="E15" i="4" s="1"/>
  <c r="E17" i="4" s="1"/>
  <c r="B8" i="4" l="1"/>
  <c r="C2" i="4"/>
  <c r="C5" i="4" s="1"/>
  <c r="C8" i="4" s="1"/>
  <c r="E24" i="1"/>
  <c r="F24" i="1"/>
  <c r="G13" i="1"/>
  <c r="F15" i="4" s="1"/>
  <c r="F17" i="4" s="1"/>
  <c r="G4" i="3" l="1"/>
  <c r="E3" i="3"/>
  <c r="E6" i="3" s="1"/>
  <c r="D3" i="3"/>
  <c r="H13" i="1"/>
  <c r="G15" i="4" s="1"/>
  <c r="G17" i="4" s="1"/>
  <c r="G24" i="1"/>
  <c r="D6" i="3" l="1"/>
  <c r="D2" i="4" s="1"/>
  <c r="D5" i="4" s="1"/>
  <c r="D8" i="4" s="1"/>
  <c r="E2" i="4"/>
  <c r="E5" i="4" s="1"/>
  <c r="E8" i="4" s="1"/>
  <c r="F3" i="3"/>
  <c r="I13" i="1"/>
  <c r="H4" i="3"/>
  <c r="H24" i="1"/>
  <c r="F6" i="3" l="1"/>
  <c r="F2" i="4" s="1"/>
  <c r="F5" i="4" s="1"/>
  <c r="J13" i="1"/>
  <c r="I4" i="3"/>
  <c r="G3" i="3"/>
  <c r="I24" i="1"/>
  <c r="H15" i="4"/>
  <c r="H17" i="4" s="1"/>
  <c r="F8" i="4" l="1"/>
  <c r="G6" i="3"/>
  <c r="G2" i="4" s="1"/>
  <c r="G5" i="4" s="1"/>
  <c r="H3" i="3"/>
  <c r="J4" i="3"/>
  <c r="K13" i="1"/>
  <c r="I15" i="4"/>
  <c r="I17" i="4" s="1"/>
  <c r="J24" i="1"/>
  <c r="G8" i="4" l="1"/>
  <c r="H6" i="3"/>
  <c r="H2" i="4" s="1"/>
  <c r="H5" i="4" s="1"/>
  <c r="K4" i="3"/>
  <c r="L13" i="1"/>
  <c r="I3" i="3"/>
  <c r="K24" i="1"/>
  <c r="J15" i="4"/>
  <c r="J17" i="4" s="1"/>
  <c r="H8" i="4" l="1"/>
  <c r="I6" i="3"/>
  <c r="I2" i="4" s="1"/>
  <c r="I5" i="4" s="1"/>
  <c r="I8" i="4" s="1"/>
  <c r="L24" i="1"/>
  <c r="K15" i="4"/>
  <c r="K17" i="4" s="1"/>
  <c r="J3" i="3"/>
  <c r="M13" i="1"/>
  <c r="L4" i="3"/>
  <c r="J6" i="3" l="1"/>
  <c r="J2" i="4" s="1"/>
  <c r="J5" i="4" s="1"/>
  <c r="J8" i="4" s="1"/>
  <c r="K3" i="3"/>
  <c r="K6" i="3" s="1"/>
  <c r="K2" i="4" s="1"/>
  <c r="K5" i="4" s="1"/>
  <c r="K8" i="4" s="1"/>
  <c r="M24" i="1"/>
  <c r="L3" i="3" s="1"/>
  <c r="L15" i="4"/>
  <c r="L17" i="4" s="1"/>
  <c r="B20" i="4" s="1"/>
  <c r="L6" i="3" l="1"/>
  <c r="L2" i="4" s="1"/>
  <c r="L5" i="4" s="1"/>
  <c r="L8" i="4" s="1"/>
  <c r="B22" i="4"/>
  <c r="B11" i="4" l="1"/>
  <c r="B10" i="4"/>
  <c r="B25" i="4"/>
  <c r="B26" i="4"/>
</calcChain>
</file>

<file path=xl/sharedStrings.xml><?xml version="1.0" encoding="utf-8"?>
<sst xmlns="http://schemas.openxmlformats.org/spreadsheetml/2006/main" count="197" uniqueCount="83">
  <si>
    <t>Inversión</t>
  </si>
  <si>
    <t>Materiales Importados</t>
  </si>
  <si>
    <t>RPC</t>
  </si>
  <si>
    <t>Mano de Obra Calificada</t>
  </si>
  <si>
    <t>Costos de Operación</t>
  </si>
  <si>
    <t>Costo Financiero</t>
  </si>
  <si>
    <t>Periodo</t>
  </si>
  <si>
    <t>Ingresos</t>
  </si>
  <si>
    <t>Valor residual</t>
  </si>
  <si>
    <t>Depreciación</t>
  </si>
  <si>
    <t>Utilidad Bruta</t>
  </si>
  <si>
    <t>Beneficios Sociales</t>
  </si>
  <si>
    <t>TIR</t>
  </si>
  <si>
    <t>VANS (12%)</t>
  </si>
  <si>
    <t>TIRS</t>
  </si>
  <si>
    <t>ESTADO DE RESULTADOS</t>
  </si>
  <si>
    <t>Materiales locales</t>
  </si>
  <si>
    <t>Mano de Obra No Calificada</t>
  </si>
  <si>
    <t>Estado de Resultados e Inversiones</t>
  </si>
  <si>
    <t>Productos  Importados</t>
  </si>
  <si>
    <t>Impuestos en la zona</t>
  </si>
  <si>
    <t>Año 0</t>
  </si>
  <si>
    <t>Año 1</t>
  </si>
  <si>
    <t>Año 2</t>
  </si>
  <si>
    <t>Año 3</t>
  </si>
  <si>
    <t>Año 4</t>
  </si>
  <si>
    <t>Año 5</t>
  </si>
  <si>
    <t>Año 6</t>
  </si>
  <si>
    <t>Año 7</t>
  </si>
  <si>
    <t>Año 8</t>
  </si>
  <si>
    <t>I. Flujo de Efectivo Operativo</t>
  </si>
  <si>
    <t>UAI</t>
  </si>
  <si>
    <t>Impuestos</t>
  </si>
  <si>
    <t>Flujo de Efectivo Operarivo</t>
  </si>
  <si>
    <t>II. Capital de Trabajo Neto</t>
  </si>
  <si>
    <t>CTN Inicial</t>
  </si>
  <si>
    <t>Cambio en CTN</t>
  </si>
  <si>
    <t>Recuperación CTN</t>
  </si>
  <si>
    <t>Flujo de Efectivo CTN</t>
  </si>
  <si>
    <t>III. Gastos de Capital</t>
  </si>
  <si>
    <t>Desembolso Inicial</t>
  </si>
  <si>
    <t>Valor de Rescate Después de Impuestos</t>
  </si>
  <si>
    <t>Flujo de Efectivo Gastos Capital</t>
  </si>
  <si>
    <t>Parámetros</t>
  </si>
  <si>
    <t>Préstamo</t>
  </si>
  <si>
    <t>Tasa anual</t>
  </si>
  <si>
    <t>EA</t>
  </si>
  <si>
    <t># de periodos para pagar el préstamo</t>
  </si>
  <si>
    <t>años</t>
  </si>
  <si>
    <t>Cuota</t>
  </si>
  <si>
    <t>Abono a capital</t>
  </si>
  <si>
    <t>interés</t>
  </si>
  <si>
    <t>saldo</t>
  </si>
  <si>
    <t>Utilidades Antes de Impuestos</t>
  </si>
  <si>
    <t>Amortización Préstamo</t>
  </si>
  <si>
    <t>Año 9</t>
  </si>
  <si>
    <t>Año 10</t>
  </si>
  <si>
    <t>VPN (5%)</t>
  </si>
  <si>
    <t>Beneficiarios (familias)</t>
  </si>
  <si>
    <t>Beneficiarios Promedio</t>
  </si>
  <si>
    <t>I. Costos Operación y Mantenimiento</t>
  </si>
  <si>
    <t xml:space="preserve">II. Costos de Inversión </t>
  </si>
  <si>
    <t>Anualidad Costos e Inversión</t>
  </si>
  <si>
    <t>Estado de Resultados e Inversiones a Precios Cuenta</t>
  </si>
  <si>
    <t>VP de Costos e Inversión (5%)</t>
  </si>
  <si>
    <t>Flujo Incremental</t>
  </si>
  <si>
    <r>
      <t xml:space="preserve">Flujo de Efectivo </t>
    </r>
    <r>
      <rPr>
        <b/>
        <sz val="12"/>
        <color rgb="FFFF0000"/>
        <rFont val="Calibri"/>
        <family val="2"/>
        <scheme val="minor"/>
      </rPr>
      <t>Con</t>
    </r>
    <r>
      <rPr>
        <b/>
        <sz val="12"/>
        <color theme="1"/>
        <rFont val="Calibri"/>
        <family val="2"/>
        <scheme val="minor"/>
      </rPr>
      <t xml:space="preserve"> Proyecto</t>
    </r>
  </si>
  <si>
    <r>
      <t xml:space="preserve">Flujo de Efectivo </t>
    </r>
    <r>
      <rPr>
        <b/>
        <sz val="12"/>
        <color rgb="FFFF0000"/>
        <rFont val="Calibri"/>
        <family val="2"/>
        <scheme val="minor"/>
      </rPr>
      <t>Sin</t>
    </r>
    <r>
      <rPr>
        <b/>
        <sz val="12"/>
        <color theme="1"/>
        <rFont val="Calibri"/>
        <family val="2"/>
        <scheme val="minor"/>
      </rPr>
      <t xml:space="preserve"> Proyecto</t>
    </r>
  </si>
  <si>
    <t>Insumos locales</t>
  </si>
  <si>
    <t>Beneficios Totales</t>
  </si>
  <si>
    <t>UB</t>
  </si>
  <si>
    <t xml:space="preserve">Valor de Rescate </t>
  </si>
  <si>
    <t>Inversiones</t>
  </si>
  <si>
    <t>VP de Costos e Inversión (12%)</t>
  </si>
  <si>
    <t>Total Costos e Inversión</t>
  </si>
  <si>
    <t>VP de Beneficiarios (12%)</t>
  </si>
  <si>
    <t>Anualidad Beneficiarios</t>
  </si>
  <si>
    <t>VP Beneficiarios</t>
  </si>
  <si>
    <t>Anualidad Benefiarios</t>
  </si>
  <si>
    <t>CAE 1</t>
  </si>
  <si>
    <t>CAE 2</t>
  </si>
  <si>
    <t>CAES 1</t>
  </si>
  <si>
    <t>CAES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</si>
</sst>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#,##0_ ;[Red]\-#,##0\ "/>
    <numFmt numFmtId="168" formatCode="_-* #,##0_-;\-* #,##0_-;_-* &quot;-&quot;??_-;_-@_-"/>
    <numFmt numFmtId="169" formatCode="#,##0.00_ ;[Red]\-#,##0.00\ "/>
    <numFmt numFmtId="170" formatCode="0.0000%"/>
    <numFmt numFmtId="171" formatCode="&quot;$&quot;\ #,##0.00_);[Red]\(&quot;$&quot;\ #,##0.00\)"/>
    <numFmt numFmtId="172" formatCode="#,##0.000_ ;[Red]\-#,##0.000\ "/>
    <numFmt numFmtId="173" formatCode="_(* #,##0.000_);_(* \(#,##0.00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4"/>
      <color indexed="10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color theme="1"/>
      <name val="CenturyGothic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65">
    <xf numFmtId="0" fontId="0" fillId="0" borderId="0" xfId="0"/>
    <xf numFmtId="166" fontId="0" fillId="0" borderId="0" xfId="1" applyNumberFormat="1" applyFont="1"/>
    <xf numFmtId="0" fontId="0" fillId="2" borderId="0" xfId="0" applyFill="1"/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166" fontId="2" fillId="2" borderId="1" xfId="1" applyNumberFormat="1" applyFont="1" applyFill="1" applyBorder="1"/>
    <xf numFmtId="166" fontId="0" fillId="2" borderId="1" xfId="1" applyNumberFormat="1" applyFont="1" applyFill="1" applyBorder="1"/>
    <xf numFmtId="166" fontId="3" fillId="2" borderId="1" xfId="1" applyNumberFormat="1" applyFont="1" applyFill="1" applyBorder="1"/>
    <xf numFmtId="0" fontId="2" fillId="2" borderId="1" xfId="0" applyFont="1" applyFill="1" applyBorder="1"/>
    <xf numFmtId="0" fontId="0" fillId="2" borderId="1" xfId="0" applyFill="1" applyBorder="1"/>
    <xf numFmtId="165" fontId="3" fillId="2" borderId="1" xfId="1" applyNumberFormat="1" applyFont="1" applyFill="1" applyBorder="1"/>
    <xf numFmtId="166" fontId="2" fillId="2" borderId="0" xfId="1" applyNumberFormat="1" applyFont="1" applyFill="1" applyBorder="1"/>
    <xf numFmtId="166" fontId="0" fillId="2" borderId="0" xfId="1" applyNumberFormat="1" applyFont="1" applyFill="1" applyBorder="1"/>
    <xf numFmtId="0" fontId="0" fillId="0" borderId="0" xfId="0" applyFill="1" applyBorder="1"/>
    <xf numFmtId="166" fontId="0" fillId="0" borderId="0" xfId="1" applyNumberFormat="1" applyFont="1" applyFill="1" applyBorder="1"/>
    <xf numFmtId="0" fontId="0" fillId="0" borderId="0" xfId="0" applyBorder="1"/>
    <xf numFmtId="0" fontId="0" fillId="2" borderId="0" xfId="0" applyFill="1" applyBorder="1"/>
    <xf numFmtId="166" fontId="3" fillId="2" borderId="0" xfId="1" applyNumberFormat="1" applyFont="1" applyFill="1" applyBorder="1"/>
    <xf numFmtId="165" fontId="3" fillId="2" borderId="0" xfId="1" applyNumberFormat="1" applyFont="1" applyFill="1" applyBorder="1"/>
    <xf numFmtId="165" fontId="0" fillId="2" borderId="0" xfId="1" applyNumberFormat="1" applyFont="1" applyFill="1" applyBorder="1"/>
    <xf numFmtId="0" fontId="5" fillId="2" borderId="1" xfId="0" applyFont="1" applyFill="1" applyBorder="1"/>
    <xf numFmtId="166" fontId="5" fillId="2" borderId="1" xfId="1" applyNumberFormat="1" applyFont="1" applyFill="1" applyBorder="1"/>
    <xf numFmtId="165" fontId="5" fillId="2" borderId="1" xfId="1" applyNumberFormat="1" applyFont="1" applyFill="1" applyBorder="1"/>
    <xf numFmtId="0" fontId="5" fillId="2" borderId="0" xfId="0" applyFont="1" applyFill="1" applyBorder="1"/>
    <xf numFmtId="166" fontId="6" fillId="2" borderId="0" xfId="1" applyNumberFormat="1" applyFont="1" applyFill="1" applyBorder="1"/>
    <xf numFmtId="166" fontId="5" fillId="2" borderId="0" xfId="1" applyNumberFormat="1" applyFont="1" applyFill="1" applyBorder="1"/>
    <xf numFmtId="0" fontId="2" fillId="2" borderId="0" xfId="0" applyFont="1" applyFill="1" applyBorder="1"/>
    <xf numFmtId="0" fontId="1" fillId="2" borderId="1" xfId="0" applyFont="1" applyFill="1" applyBorder="1"/>
    <xf numFmtId="167" fontId="0" fillId="0" borderId="0" xfId="0" applyNumberFormat="1"/>
    <xf numFmtId="167" fontId="0" fillId="0" borderId="0" xfId="0" applyNumberFormat="1" applyAlignment="1">
      <alignment horizontal="center"/>
    </xf>
    <xf numFmtId="167" fontId="10" fillId="0" borderId="0" xfId="0" applyNumberFormat="1" applyFont="1"/>
    <xf numFmtId="167" fontId="10" fillId="0" borderId="0" xfId="1" applyNumberFormat="1" applyFont="1"/>
    <xf numFmtId="167" fontId="0" fillId="0" borderId="0" xfId="1" applyNumberFormat="1" applyFont="1"/>
    <xf numFmtId="167" fontId="0" fillId="3" borderId="0" xfId="0" applyNumberFormat="1" applyFill="1"/>
    <xf numFmtId="167" fontId="0" fillId="3" borderId="0" xfId="1" applyNumberFormat="1" applyFont="1" applyFill="1"/>
    <xf numFmtId="9" fontId="0" fillId="0" borderId="0" xfId="0" applyNumberFormat="1"/>
    <xf numFmtId="0" fontId="0" fillId="0" borderId="0" xfId="0" applyAlignment="1">
      <alignment wrapText="1"/>
    </xf>
    <xf numFmtId="170" fontId="11" fillId="0" borderId="0" xfId="2" applyNumberFormat="1" applyFont="1"/>
    <xf numFmtId="0" fontId="11" fillId="0" borderId="0" xfId="0" applyFont="1"/>
    <xf numFmtId="171" fontId="0" fillId="0" borderId="0" xfId="0" applyNumberFormat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/>
    <xf numFmtId="167" fontId="0" fillId="0" borderId="1" xfId="0" applyNumberFormat="1" applyBorder="1"/>
    <xf numFmtId="167" fontId="1" fillId="0" borderId="0" xfId="0" applyNumberFormat="1" applyFont="1"/>
    <xf numFmtId="167" fontId="12" fillId="0" borderId="0" xfId="0" applyNumberFormat="1" applyFont="1"/>
    <xf numFmtId="167" fontId="13" fillId="0" borderId="0" xfId="1" applyNumberFormat="1" applyFont="1"/>
    <xf numFmtId="167" fontId="11" fillId="3" borderId="0" xfId="0" applyNumberFormat="1" applyFont="1" applyFill="1"/>
    <xf numFmtId="167" fontId="11" fillId="0" borderId="0" xfId="0" applyNumberFormat="1" applyFont="1" applyAlignment="1">
      <alignment horizontal="right"/>
    </xf>
    <xf numFmtId="167" fontId="11" fillId="0" borderId="0" xfId="0" applyNumberFormat="1" applyFont="1"/>
    <xf numFmtId="10" fontId="11" fillId="0" borderId="0" xfId="2" applyNumberFormat="1" applyFont="1"/>
    <xf numFmtId="164" fontId="11" fillId="0" borderId="0" xfId="1" applyFont="1"/>
    <xf numFmtId="168" fontId="12" fillId="0" borderId="0" xfId="1" applyNumberFormat="1" applyFont="1"/>
    <xf numFmtId="169" fontId="12" fillId="0" borderId="0" xfId="0" applyNumberFormat="1" applyFont="1"/>
    <xf numFmtId="166" fontId="11" fillId="0" borderId="0" xfId="1" applyNumberFormat="1" applyFont="1"/>
    <xf numFmtId="172" fontId="11" fillId="0" borderId="0" xfId="0" applyNumberFormat="1" applyFont="1"/>
    <xf numFmtId="167" fontId="14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center"/>
    </xf>
    <xf numFmtId="173" fontId="12" fillId="0" borderId="0" xfId="1" applyNumberFormat="1" applyFont="1"/>
    <xf numFmtId="169" fontId="11" fillId="0" borderId="0" xfId="0" applyNumberFormat="1" applyFont="1"/>
    <xf numFmtId="167" fontId="15" fillId="0" borderId="0" xfId="0" applyNumberFormat="1" applyFont="1" applyAlignment="1">
      <alignment horizontal="center"/>
    </xf>
    <xf numFmtId="0" fontId="2" fillId="0" borderId="0" xfId="0" applyFont="1"/>
    <xf numFmtId="167" fontId="15" fillId="0" borderId="0" xfId="0" applyNumberFormat="1" applyFont="1"/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17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7"/>
  <sheetViews>
    <sheetView tabSelected="1" zoomScale="114" zoomScaleNormal="114" zoomScalePageLayoutView="200" workbookViewId="0">
      <selection activeCell="D21" sqref="D21"/>
    </sheetView>
  </sheetViews>
  <sheetFormatPr baseColWidth="10" defaultRowHeight="13"/>
  <cols>
    <col min="1" max="1" width="29.33203125" customWidth="1"/>
    <col min="2" max="2" width="6" customWidth="1"/>
  </cols>
  <sheetData>
    <row r="2" spans="1:13" ht="18">
      <c r="A2" s="2"/>
      <c r="B2" s="63" t="s">
        <v>18</v>
      </c>
      <c r="C2" s="63"/>
      <c r="D2" s="63"/>
      <c r="E2" s="63"/>
      <c r="F2" s="63"/>
      <c r="G2" s="63"/>
      <c r="H2" s="2"/>
    </row>
    <row r="3" spans="1:13">
      <c r="A3" s="2"/>
      <c r="B3" s="2"/>
      <c r="C3" s="2"/>
      <c r="D3" s="2"/>
      <c r="E3" s="2"/>
      <c r="F3" s="2"/>
      <c r="G3" s="2"/>
      <c r="H3" s="2"/>
    </row>
    <row r="4" spans="1:13">
      <c r="A4" s="2"/>
      <c r="B4" s="4" t="s">
        <v>2</v>
      </c>
      <c r="C4" s="57" t="s">
        <v>21</v>
      </c>
      <c r="D4" s="57" t="s">
        <v>22</v>
      </c>
      <c r="E4" s="57" t="s">
        <v>23</v>
      </c>
      <c r="F4" s="57" t="s">
        <v>24</v>
      </c>
      <c r="G4" s="57" t="s">
        <v>25</v>
      </c>
      <c r="H4" s="57" t="s">
        <v>26</v>
      </c>
      <c r="I4" s="57" t="s">
        <v>27</v>
      </c>
      <c r="J4" s="57" t="s">
        <v>28</v>
      </c>
      <c r="K4" s="57" t="s">
        <v>29</v>
      </c>
      <c r="L4" s="57" t="s">
        <v>55</v>
      </c>
      <c r="M4" s="57" t="s">
        <v>56</v>
      </c>
    </row>
    <row r="5" spans="1:13">
      <c r="A5" s="3"/>
      <c r="B5" s="11"/>
      <c r="C5" s="11"/>
      <c r="D5" s="11"/>
      <c r="E5" s="11"/>
      <c r="F5" s="11"/>
      <c r="G5" s="11"/>
      <c r="H5" s="12"/>
    </row>
    <row r="6" spans="1:13">
      <c r="A6" s="8" t="s">
        <v>0</v>
      </c>
      <c r="B6" s="5"/>
      <c r="C6" s="5">
        <f>SUM(C7:C10)</f>
        <v>700</v>
      </c>
      <c r="D6" s="5"/>
      <c r="E6" s="5"/>
      <c r="F6" s="5"/>
      <c r="G6" s="5"/>
      <c r="H6" s="6"/>
      <c r="I6" s="6"/>
      <c r="J6" s="6"/>
      <c r="K6" s="6"/>
      <c r="L6" s="6"/>
      <c r="M6" s="6"/>
    </row>
    <row r="7" spans="1:13">
      <c r="A7" s="9" t="s">
        <v>1</v>
      </c>
      <c r="B7" s="6">
        <v>1</v>
      </c>
      <c r="C7" s="6">
        <f>0.4*1000*0.7</f>
        <v>280</v>
      </c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27" t="s">
        <v>16</v>
      </c>
      <c r="B8" s="6">
        <v>1</v>
      </c>
      <c r="C8" s="6">
        <f>0.3*1000*0.7</f>
        <v>210</v>
      </c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9" t="s">
        <v>3</v>
      </c>
      <c r="B9" s="6">
        <v>1</v>
      </c>
      <c r="C9" s="6">
        <f>0.1*1000*0.7</f>
        <v>70</v>
      </c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27" t="s">
        <v>17</v>
      </c>
      <c r="B10" s="6">
        <v>1</v>
      </c>
      <c r="C10" s="6">
        <f>0.2*1000*0.7</f>
        <v>140</v>
      </c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16"/>
      <c r="B11" s="12"/>
      <c r="C11" s="12"/>
      <c r="D11" s="12"/>
      <c r="E11" s="12"/>
      <c r="F11" s="12"/>
      <c r="G11" s="12"/>
      <c r="H11" s="12"/>
    </row>
    <row r="12" spans="1:13">
      <c r="A12" s="26" t="s">
        <v>15</v>
      </c>
      <c r="B12" s="14"/>
      <c r="C12" s="14"/>
      <c r="D12" s="14"/>
      <c r="E12" s="14"/>
      <c r="F12" s="14"/>
      <c r="G12" s="14"/>
      <c r="H12" s="14"/>
    </row>
    <row r="13" spans="1:13">
      <c r="A13" s="8" t="s">
        <v>4</v>
      </c>
      <c r="B13" s="5"/>
      <c r="C13" s="5">
        <f t="shared" ref="C13:H13" si="0">SUM(C14:C18)</f>
        <v>0</v>
      </c>
      <c r="D13" s="5">
        <f t="shared" si="0"/>
        <v>80</v>
      </c>
      <c r="E13" s="5">
        <f t="shared" si="0"/>
        <v>70.936555891238669</v>
      </c>
      <c r="F13" s="5">
        <f t="shared" si="0"/>
        <v>60.966767371601208</v>
      </c>
      <c r="G13" s="5">
        <f t="shared" si="0"/>
        <v>50</v>
      </c>
      <c r="H13" s="5">
        <f t="shared" si="0"/>
        <v>50</v>
      </c>
      <c r="I13" s="5">
        <f t="shared" ref="I13:M13" si="1">SUM(I14:I18)</f>
        <v>50</v>
      </c>
      <c r="J13" s="5">
        <f t="shared" si="1"/>
        <v>50</v>
      </c>
      <c r="K13" s="5">
        <f t="shared" si="1"/>
        <v>50</v>
      </c>
      <c r="L13" s="5">
        <f t="shared" si="1"/>
        <v>50</v>
      </c>
      <c r="M13" s="5">
        <f t="shared" si="1"/>
        <v>50</v>
      </c>
    </row>
    <row r="14" spans="1:13">
      <c r="A14" s="27" t="s">
        <v>17</v>
      </c>
      <c r="B14" s="6">
        <v>1</v>
      </c>
      <c r="C14" s="6"/>
      <c r="D14" s="6">
        <v>20</v>
      </c>
      <c r="E14" s="6">
        <v>20</v>
      </c>
      <c r="F14" s="6">
        <v>20</v>
      </c>
      <c r="G14" s="6">
        <v>20</v>
      </c>
      <c r="H14" s="6">
        <v>20</v>
      </c>
      <c r="I14" s="6">
        <v>20</v>
      </c>
      <c r="J14" s="6">
        <v>20</v>
      </c>
      <c r="K14" s="6">
        <v>20</v>
      </c>
      <c r="L14" s="6">
        <v>20</v>
      </c>
      <c r="M14" s="6">
        <v>20</v>
      </c>
    </row>
    <row r="15" spans="1:13">
      <c r="A15" s="27" t="s">
        <v>19</v>
      </c>
      <c r="B15" s="6">
        <v>1</v>
      </c>
      <c r="C15" s="6"/>
      <c r="D15" s="6">
        <v>20</v>
      </c>
      <c r="E15" s="6">
        <v>20</v>
      </c>
      <c r="F15" s="6">
        <v>20</v>
      </c>
      <c r="G15" s="6">
        <v>20</v>
      </c>
      <c r="H15" s="6">
        <v>20</v>
      </c>
      <c r="I15" s="6">
        <v>20</v>
      </c>
      <c r="J15" s="6">
        <v>20</v>
      </c>
      <c r="K15" s="6">
        <v>20</v>
      </c>
      <c r="L15" s="6">
        <v>20</v>
      </c>
      <c r="M15" s="6">
        <v>20</v>
      </c>
    </row>
    <row r="16" spans="1:13">
      <c r="A16" s="27" t="s">
        <v>68</v>
      </c>
      <c r="B16" s="6">
        <v>1</v>
      </c>
      <c r="C16" s="6"/>
      <c r="D16" s="6">
        <v>10</v>
      </c>
      <c r="E16" s="6">
        <v>10</v>
      </c>
      <c r="F16" s="6">
        <v>10</v>
      </c>
      <c r="G16" s="6">
        <v>10</v>
      </c>
      <c r="H16" s="6">
        <v>10</v>
      </c>
      <c r="I16" s="6">
        <v>10</v>
      </c>
      <c r="J16" s="6">
        <v>10</v>
      </c>
      <c r="K16" s="6">
        <v>10</v>
      </c>
      <c r="L16" s="6">
        <v>10</v>
      </c>
      <c r="M16" s="6">
        <v>10</v>
      </c>
    </row>
    <row r="17" spans="1:13">
      <c r="A17" s="9" t="s">
        <v>5</v>
      </c>
      <c r="B17" s="6">
        <v>1</v>
      </c>
      <c r="C17" s="6"/>
      <c r="D17" s="6">
        <f>+Prestamo!D10</f>
        <v>30</v>
      </c>
      <c r="E17" s="6">
        <f>+Prestamo!D11</f>
        <v>20.936555891238669</v>
      </c>
      <c r="F17" s="6">
        <f>+Prestamo!D12</f>
        <v>10.966767371601204</v>
      </c>
      <c r="G17" s="6"/>
      <c r="H17" s="6"/>
      <c r="I17" s="6"/>
      <c r="J17" s="6"/>
      <c r="K17" s="6"/>
      <c r="L17" s="6"/>
      <c r="M17" s="6"/>
    </row>
    <row r="18" spans="1:13">
      <c r="A18" s="9" t="s">
        <v>9</v>
      </c>
      <c r="B18" s="6">
        <v>1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>
      <c r="A19" s="15"/>
      <c r="B19" s="14"/>
      <c r="C19" s="14"/>
      <c r="D19" s="14"/>
      <c r="E19" s="14"/>
      <c r="F19" s="14"/>
      <c r="G19" s="14"/>
      <c r="H19" s="13"/>
      <c r="I19" s="13"/>
      <c r="J19" s="13"/>
      <c r="K19" s="13"/>
      <c r="L19" s="13"/>
      <c r="M19" s="13"/>
    </row>
    <row r="20" spans="1:13">
      <c r="A20" s="8" t="s">
        <v>7</v>
      </c>
      <c r="B20" s="5"/>
      <c r="C20" s="5"/>
      <c r="D20" s="5">
        <f t="shared" ref="D20:H20" si="2">SUM(D21:D22)</f>
        <v>250</v>
      </c>
      <c r="E20" s="5">
        <f t="shared" si="2"/>
        <v>250</v>
      </c>
      <c r="F20" s="5">
        <f t="shared" si="2"/>
        <v>250</v>
      </c>
      <c r="G20" s="5">
        <f t="shared" si="2"/>
        <v>250</v>
      </c>
      <c r="H20" s="5">
        <f t="shared" si="2"/>
        <v>250</v>
      </c>
      <c r="I20" s="5">
        <f t="shared" ref="I20:M20" si="3">SUM(I21:I22)</f>
        <v>250</v>
      </c>
      <c r="J20" s="5">
        <f t="shared" si="3"/>
        <v>250</v>
      </c>
      <c r="K20" s="5">
        <f t="shared" si="3"/>
        <v>250</v>
      </c>
      <c r="L20" s="5">
        <f t="shared" si="3"/>
        <v>250</v>
      </c>
      <c r="M20" s="5">
        <f t="shared" si="3"/>
        <v>250</v>
      </c>
    </row>
    <row r="21" spans="1:13">
      <c r="A21" s="27" t="s">
        <v>20</v>
      </c>
      <c r="B21" s="6">
        <v>1</v>
      </c>
      <c r="C21" s="6"/>
      <c r="D21" s="6">
        <v>250</v>
      </c>
      <c r="E21" s="6">
        <v>250</v>
      </c>
      <c r="F21" s="6">
        <v>250</v>
      </c>
      <c r="G21" s="6">
        <v>250</v>
      </c>
      <c r="H21" s="6">
        <v>250</v>
      </c>
      <c r="I21" s="6">
        <v>250</v>
      </c>
      <c r="J21" s="6">
        <v>250</v>
      </c>
      <c r="K21" s="6">
        <v>250</v>
      </c>
      <c r="L21" s="6">
        <v>250</v>
      </c>
      <c r="M21" s="6">
        <v>250</v>
      </c>
    </row>
    <row r="22" spans="1:13">
      <c r="A22" s="9" t="s">
        <v>8</v>
      </c>
      <c r="B22" s="6">
        <v>1</v>
      </c>
      <c r="C22" s="6"/>
      <c r="D22" s="6"/>
      <c r="E22" s="6"/>
      <c r="F22" s="6"/>
      <c r="G22" s="6"/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</row>
    <row r="23" spans="1:13">
      <c r="A23" s="16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13">
      <c r="A24" s="20" t="s">
        <v>53</v>
      </c>
      <c r="B24" s="21"/>
      <c r="C24" s="21">
        <f t="shared" ref="C24:H24" si="4">+C20-C13</f>
        <v>0</v>
      </c>
      <c r="D24" s="21">
        <f t="shared" si="4"/>
        <v>170</v>
      </c>
      <c r="E24" s="21">
        <f t="shared" si="4"/>
        <v>179.06344410876133</v>
      </c>
      <c r="F24" s="21">
        <f t="shared" si="4"/>
        <v>189.03323262839879</v>
      </c>
      <c r="G24" s="21">
        <f t="shared" si="4"/>
        <v>200</v>
      </c>
      <c r="H24" s="21">
        <f t="shared" si="4"/>
        <v>200</v>
      </c>
      <c r="I24" s="21">
        <f t="shared" ref="I24:M24" si="5">+I20-I13</f>
        <v>200</v>
      </c>
      <c r="J24" s="21">
        <f t="shared" si="5"/>
        <v>200</v>
      </c>
      <c r="K24" s="21">
        <f t="shared" si="5"/>
        <v>200</v>
      </c>
      <c r="L24" s="21">
        <f t="shared" si="5"/>
        <v>200</v>
      </c>
      <c r="M24" s="21">
        <f t="shared" si="5"/>
        <v>200</v>
      </c>
    </row>
    <row r="25" spans="1:13">
      <c r="A25" s="23"/>
      <c r="B25" s="24"/>
      <c r="C25" s="25"/>
      <c r="D25" s="25"/>
      <c r="E25" s="25"/>
      <c r="F25" s="25"/>
      <c r="G25" s="25"/>
      <c r="H25" s="25"/>
    </row>
    <row r="26" spans="1:13">
      <c r="A26" s="23"/>
      <c r="B26" s="24"/>
      <c r="C26" s="25"/>
      <c r="D26" s="25"/>
      <c r="E26" s="25"/>
      <c r="F26" s="25"/>
      <c r="G26" s="25"/>
      <c r="H26" s="25"/>
    </row>
    <row r="27" spans="1:13">
      <c r="B27" s="1"/>
      <c r="C27" s="1"/>
      <c r="D27" s="1"/>
      <c r="E27" s="1"/>
      <c r="F27" s="1"/>
      <c r="G27" s="1"/>
      <c r="H27" s="1"/>
    </row>
  </sheetData>
  <mergeCells count="1">
    <mergeCell ref="B2:G2"/>
  </mergeCells>
  <phoneticPr fontId="0" type="noConversion"/>
  <pageMargins left="0.75" right="0.75" top="1" bottom="1" header="0" footer="0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A10F4-A951-8F46-9A0A-3844E62C792C}">
  <dimension ref="A2:L12"/>
  <sheetViews>
    <sheetView workbookViewId="0">
      <selection activeCell="C19" sqref="C19"/>
    </sheetView>
  </sheetViews>
  <sheetFormatPr baseColWidth="10" defaultColWidth="8.83203125" defaultRowHeight="13"/>
  <cols>
    <col min="1" max="2" width="20.5" customWidth="1"/>
    <col min="3" max="3" width="12.6640625" bestFit="1" customWidth="1"/>
    <col min="4" max="4" width="13.83203125" bestFit="1" customWidth="1"/>
    <col min="5" max="5" width="12" customWidth="1"/>
    <col min="12" max="12" width="20.5" bestFit="1" customWidth="1"/>
    <col min="13" max="13" width="10.33203125" bestFit="1" customWidth="1"/>
  </cols>
  <sheetData>
    <row r="2" spans="1:12">
      <c r="A2" t="s">
        <v>43</v>
      </c>
    </row>
    <row r="3" spans="1:12">
      <c r="A3" t="s">
        <v>44</v>
      </c>
      <c r="B3" s="28">
        <f>1000*0.3</f>
        <v>300</v>
      </c>
    </row>
    <row r="4" spans="1:12">
      <c r="A4" t="s">
        <v>45</v>
      </c>
      <c r="B4" s="35">
        <v>0.1</v>
      </c>
      <c r="C4" t="s">
        <v>46</v>
      </c>
    </row>
    <row r="5" spans="1:12" ht="26">
      <c r="A5" s="36" t="s">
        <v>47</v>
      </c>
      <c r="B5">
        <v>3</v>
      </c>
      <c r="C5" t="s">
        <v>48</v>
      </c>
    </row>
    <row r="6" spans="1:12" ht="16">
      <c r="A6" s="36" t="s">
        <v>49</v>
      </c>
      <c r="B6" s="28">
        <f>-PMT(B4,B5,B3)</f>
        <v>120.63444108761333</v>
      </c>
      <c r="I6" s="37"/>
      <c r="J6" s="38"/>
      <c r="L6" s="39"/>
    </row>
    <row r="8" spans="1:12" ht="32">
      <c r="A8" s="40" t="s">
        <v>6</v>
      </c>
      <c r="B8" s="40" t="s">
        <v>49</v>
      </c>
      <c r="C8" s="41" t="s">
        <v>50</v>
      </c>
      <c r="D8" s="40" t="s">
        <v>51</v>
      </c>
      <c r="E8" s="40" t="s">
        <v>52</v>
      </c>
    </row>
    <row r="9" spans="1:12">
      <c r="A9" s="42">
        <v>0</v>
      </c>
      <c r="B9" s="43"/>
      <c r="C9" s="43"/>
      <c r="D9" s="43"/>
      <c r="E9" s="43">
        <f>B3</f>
        <v>300</v>
      </c>
    </row>
    <row r="10" spans="1:12">
      <c r="A10" s="42">
        <v>1</v>
      </c>
      <c r="B10" s="43">
        <f>$B$6</f>
        <v>120.63444108761333</v>
      </c>
      <c r="C10" s="43">
        <f>B10-D10</f>
        <v>90.634441087613325</v>
      </c>
      <c r="D10" s="43">
        <f>+E9*B4</f>
        <v>30</v>
      </c>
      <c r="E10" s="43">
        <f>E9-C10</f>
        <v>209.36555891238669</v>
      </c>
    </row>
    <row r="11" spans="1:12">
      <c r="A11" s="42">
        <v>2</v>
      </c>
      <c r="B11" s="43">
        <f>$B$6</f>
        <v>120.63444108761333</v>
      </c>
      <c r="C11" s="43">
        <f t="shared" ref="C11:C12" si="0">B11-D11</f>
        <v>99.697885196374656</v>
      </c>
      <c r="D11" s="43">
        <f>+E10*B4</f>
        <v>20.936555891238669</v>
      </c>
      <c r="E11" s="43">
        <f t="shared" ref="E11:E12" si="1">E10-C11</f>
        <v>109.66767371601203</v>
      </c>
    </row>
    <row r="12" spans="1:12">
      <c r="A12" s="42">
        <v>3</v>
      </c>
      <c r="B12" s="43">
        <f>$B$6</f>
        <v>120.63444108761333</v>
      </c>
      <c r="C12" s="43">
        <f t="shared" si="0"/>
        <v>109.66767371601212</v>
      </c>
      <c r="D12" s="43">
        <f>+E11*B4</f>
        <v>10.966767371601204</v>
      </c>
      <c r="E12" s="43">
        <f t="shared" si="1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DE588-A917-4D44-B996-E60FD50C3A05}">
  <dimension ref="A1:L16"/>
  <sheetViews>
    <sheetView workbookViewId="0">
      <selection activeCell="I15" sqref="I15"/>
    </sheetView>
  </sheetViews>
  <sheetFormatPr baseColWidth="10" defaultRowHeight="13"/>
  <cols>
    <col min="1" max="1" width="41.83203125" style="28" customWidth="1"/>
    <col min="2" max="2" width="14.83203125" style="28" customWidth="1"/>
    <col min="3" max="16384" width="10.83203125" style="28"/>
  </cols>
  <sheetData>
    <row r="1" spans="1:12">
      <c r="B1" s="57" t="s">
        <v>21</v>
      </c>
      <c r="C1" s="57" t="s">
        <v>22</v>
      </c>
      <c r="D1" s="57" t="s">
        <v>23</v>
      </c>
      <c r="E1" s="57" t="s">
        <v>24</v>
      </c>
      <c r="F1" s="57" t="s">
        <v>25</v>
      </c>
      <c r="G1" s="57" t="s">
        <v>26</v>
      </c>
      <c r="H1" s="57" t="s">
        <v>27</v>
      </c>
      <c r="I1" s="57" t="s">
        <v>28</v>
      </c>
      <c r="J1" s="57" t="s">
        <v>29</v>
      </c>
      <c r="K1" s="57" t="s">
        <v>55</v>
      </c>
      <c r="L1" s="57" t="s">
        <v>56</v>
      </c>
    </row>
    <row r="2" spans="1:12" ht="16">
      <c r="A2" s="30" t="s">
        <v>30</v>
      </c>
      <c r="B2" s="31"/>
      <c r="C2" s="32"/>
      <c r="D2" s="32"/>
      <c r="E2" s="32"/>
      <c r="F2" s="32"/>
      <c r="G2" s="32"/>
    </row>
    <row r="3" spans="1:12">
      <c r="A3" s="28" t="s">
        <v>31</v>
      </c>
      <c r="B3" s="32">
        <f>+'Resultados e Inv Priv'!C24</f>
        <v>0</v>
      </c>
      <c r="C3" s="32">
        <f>+'Resultados e Inv Priv'!D24</f>
        <v>170</v>
      </c>
      <c r="D3" s="32">
        <f>+'Resultados e Inv Priv'!E24</f>
        <v>179.06344410876133</v>
      </c>
      <c r="E3" s="32">
        <f>+'Resultados e Inv Priv'!F24</f>
        <v>189.03323262839879</v>
      </c>
      <c r="F3" s="32">
        <f>+'Resultados e Inv Priv'!G24</f>
        <v>200</v>
      </c>
      <c r="G3" s="32">
        <f>+'Resultados e Inv Priv'!H24</f>
        <v>200</v>
      </c>
      <c r="H3" s="32">
        <f>+'Resultados e Inv Priv'!I24</f>
        <v>200</v>
      </c>
      <c r="I3" s="32">
        <f>+'Resultados e Inv Priv'!J24</f>
        <v>200</v>
      </c>
      <c r="J3" s="32">
        <f>+'Resultados e Inv Priv'!K24</f>
        <v>200</v>
      </c>
      <c r="K3" s="32">
        <f>+'Resultados e Inv Priv'!L24</f>
        <v>200</v>
      </c>
      <c r="L3" s="32">
        <f>+'Resultados e Inv Priv'!M24</f>
        <v>200</v>
      </c>
    </row>
    <row r="4" spans="1:12">
      <c r="A4" s="28" t="s">
        <v>9</v>
      </c>
      <c r="B4" s="32"/>
      <c r="C4" s="32">
        <f>+'Resultados e Inv Priv'!D18</f>
        <v>0</v>
      </c>
      <c r="D4" s="32">
        <f>+'Resultados e Inv Priv'!E18</f>
        <v>0</v>
      </c>
      <c r="E4" s="32">
        <f>+'Resultados e Inv Priv'!F18</f>
        <v>0</v>
      </c>
      <c r="F4" s="32">
        <f>+'Resultados e Inv Priv'!G18</f>
        <v>0</v>
      </c>
      <c r="G4" s="32">
        <f>+'Resultados e Inv Priv'!H18</f>
        <v>0</v>
      </c>
      <c r="H4" s="32">
        <f>+'Resultados e Inv Priv'!I18</f>
        <v>0</v>
      </c>
      <c r="I4" s="32">
        <f>+'Resultados e Inv Priv'!J18</f>
        <v>0</v>
      </c>
      <c r="J4" s="32">
        <f>+'Resultados e Inv Priv'!K18</f>
        <v>0</v>
      </c>
      <c r="K4" s="32">
        <f>+'Resultados e Inv Priv'!L18</f>
        <v>0</v>
      </c>
      <c r="L4" s="32">
        <f>+'Resultados e Inv Priv'!M18</f>
        <v>0</v>
      </c>
    </row>
    <row r="5" spans="1:12">
      <c r="A5" s="28" t="s">
        <v>32</v>
      </c>
      <c r="B5" s="32"/>
      <c r="C5" s="32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L5" s="32">
        <v>0</v>
      </c>
    </row>
    <row r="6" spans="1:12">
      <c r="A6" s="33" t="s">
        <v>33</v>
      </c>
      <c r="B6" s="34">
        <f>+B3+B4-B5</f>
        <v>0</v>
      </c>
      <c r="C6" s="34">
        <f>SUM(C3:C5)</f>
        <v>170</v>
      </c>
      <c r="D6" s="34">
        <f t="shared" ref="D6:L6" si="0">SUM(D3:D5)</f>
        <v>179.06344410876133</v>
      </c>
      <c r="E6" s="34">
        <f t="shared" si="0"/>
        <v>189.03323262839879</v>
      </c>
      <c r="F6" s="34">
        <f t="shared" si="0"/>
        <v>200</v>
      </c>
      <c r="G6" s="34">
        <f t="shared" si="0"/>
        <v>200</v>
      </c>
      <c r="H6" s="34">
        <f t="shared" si="0"/>
        <v>200</v>
      </c>
      <c r="I6" s="34">
        <f t="shared" si="0"/>
        <v>200</v>
      </c>
      <c r="J6" s="34">
        <f t="shared" si="0"/>
        <v>200</v>
      </c>
      <c r="K6" s="34">
        <f t="shared" si="0"/>
        <v>200</v>
      </c>
      <c r="L6" s="34">
        <f t="shared" si="0"/>
        <v>200</v>
      </c>
    </row>
    <row r="7" spans="1:12" ht="16">
      <c r="A7" s="30" t="s">
        <v>34</v>
      </c>
      <c r="B7" s="31"/>
      <c r="C7" s="32"/>
      <c r="D7" s="32"/>
      <c r="E7" s="32"/>
      <c r="F7" s="32"/>
      <c r="G7" s="32"/>
    </row>
    <row r="8" spans="1:12">
      <c r="A8" s="28" t="s">
        <v>35</v>
      </c>
      <c r="B8" s="32"/>
      <c r="D8" s="32"/>
      <c r="E8" s="32"/>
      <c r="F8" s="32"/>
      <c r="G8" s="32"/>
    </row>
    <row r="9" spans="1:12">
      <c r="A9" s="28" t="s">
        <v>36</v>
      </c>
      <c r="B9" s="32"/>
      <c r="C9" s="32"/>
      <c r="D9" s="32"/>
      <c r="E9" s="32"/>
      <c r="F9" s="32"/>
      <c r="G9" s="32"/>
    </row>
    <row r="10" spans="1:12">
      <c r="A10" s="28" t="s">
        <v>37</v>
      </c>
      <c r="B10" s="32"/>
      <c r="C10" s="32"/>
      <c r="D10" s="32"/>
      <c r="E10" s="32"/>
      <c r="F10" s="32"/>
      <c r="G10" s="32"/>
    </row>
    <row r="11" spans="1:12">
      <c r="A11" s="33" t="s">
        <v>38</v>
      </c>
      <c r="B11" s="34">
        <f>+B8+B9+B10</f>
        <v>0</v>
      </c>
      <c r="C11" s="34">
        <f t="shared" ref="C11:G11" si="1">+C8+C9+C10</f>
        <v>0</v>
      </c>
      <c r="D11" s="34">
        <f t="shared" si="1"/>
        <v>0</v>
      </c>
      <c r="E11" s="34">
        <f t="shared" si="1"/>
        <v>0</v>
      </c>
      <c r="F11" s="34">
        <f t="shared" si="1"/>
        <v>0</v>
      </c>
      <c r="G11" s="34">
        <f t="shared" si="1"/>
        <v>0</v>
      </c>
      <c r="H11" s="34">
        <f t="shared" ref="H11:L11" si="2">+H8+H9+H10</f>
        <v>0</v>
      </c>
      <c r="I11" s="34">
        <f t="shared" si="2"/>
        <v>0</v>
      </c>
      <c r="J11" s="34">
        <f t="shared" si="2"/>
        <v>0</v>
      </c>
      <c r="K11" s="34">
        <f t="shared" si="2"/>
        <v>0</v>
      </c>
      <c r="L11" s="34">
        <f t="shared" si="2"/>
        <v>0</v>
      </c>
    </row>
    <row r="12" spans="1:12" ht="16">
      <c r="A12" s="30" t="s">
        <v>39</v>
      </c>
      <c r="B12" s="31"/>
      <c r="C12" s="32"/>
      <c r="D12" s="32"/>
      <c r="E12" s="32"/>
      <c r="F12" s="32"/>
      <c r="G12" s="32"/>
      <c r="H12" s="32"/>
      <c r="I12" s="32"/>
      <c r="J12" s="32"/>
      <c r="K12" s="32"/>
      <c r="L12" s="32"/>
    </row>
    <row r="13" spans="1:12">
      <c r="A13" s="28" t="s">
        <v>40</v>
      </c>
      <c r="B13" s="32">
        <f>-'Resultados e Inv Priv'!C6</f>
        <v>-700</v>
      </c>
      <c r="D13" s="32"/>
      <c r="E13" s="32"/>
      <c r="F13" s="32"/>
      <c r="G13" s="32"/>
      <c r="H13" s="32"/>
      <c r="I13" s="32"/>
      <c r="J13" s="32"/>
      <c r="K13" s="32"/>
      <c r="L13" s="32"/>
    </row>
    <row r="14" spans="1:12">
      <c r="A14" s="28" t="s">
        <v>41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</row>
    <row r="15" spans="1:12">
      <c r="A15" s="44" t="s">
        <v>54</v>
      </c>
      <c r="B15" s="32"/>
      <c r="C15" s="32">
        <f>-Prestamo!C10</f>
        <v>-90.634441087613325</v>
      </c>
      <c r="D15" s="32">
        <f>-Prestamo!C11</f>
        <v>-99.697885196374656</v>
      </c>
      <c r="E15" s="32">
        <f>-Prestamo!C12</f>
        <v>-109.66767371601212</v>
      </c>
      <c r="F15" s="32"/>
      <c r="G15" s="32"/>
      <c r="H15" s="32"/>
      <c r="I15" s="32"/>
      <c r="J15" s="32"/>
      <c r="K15" s="32"/>
      <c r="L15" s="32"/>
    </row>
    <row r="16" spans="1:12">
      <c r="A16" s="33" t="s">
        <v>42</v>
      </c>
      <c r="B16" s="34">
        <f>SUM(B13:B15)</f>
        <v>-700</v>
      </c>
      <c r="C16" s="34">
        <f t="shared" ref="C16:G16" si="3">SUM(C13:C15)</f>
        <v>-90.634441087613325</v>
      </c>
      <c r="D16" s="34">
        <f t="shared" si="3"/>
        <v>-99.697885196374656</v>
      </c>
      <c r="E16" s="34">
        <f t="shared" si="3"/>
        <v>-109.66767371601212</v>
      </c>
      <c r="F16" s="34">
        <f t="shared" si="3"/>
        <v>0</v>
      </c>
      <c r="G16" s="34">
        <f t="shared" si="3"/>
        <v>0</v>
      </c>
      <c r="H16" s="34">
        <f t="shared" ref="H16" si="4">SUM(H13:H15)</f>
        <v>0</v>
      </c>
      <c r="I16" s="34">
        <f t="shared" ref="I16" si="5">SUM(I13:I15)</f>
        <v>0</v>
      </c>
      <c r="J16" s="34">
        <f t="shared" ref="J16" si="6">SUM(J13:J15)</f>
        <v>0</v>
      </c>
      <c r="K16" s="34">
        <f t="shared" ref="K16" si="7">SUM(K13:K15)</f>
        <v>0</v>
      </c>
      <c r="L16" s="34">
        <f t="shared" ref="L16" si="8">SUM(L13:L15)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EF35C-4FFB-C34E-A722-38E6940465A6}">
  <dimension ref="A1:L26"/>
  <sheetViews>
    <sheetView workbookViewId="0">
      <selection activeCell="B25" sqref="B25"/>
    </sheetView>
  </sheetViews>
  <sheetFormatPr baseColWidth="10" defaultRowHeight="16"/>
  <cols>
    <col min="1" max="1" width="34.1640625" style="45" customWidth="1"/>
    <col min="2" max="2" width="14.83203125" style="45" customWidth="1"/>
    <col min="3" max="3" width="14.6640625" style="45" bestFit="1" customWidth="1"/>
    <col min="4" max="16384" width="10.83203125" style="45"/>
  </cols>
  <sheetData>
    <row r="1" spans="1:12">
      <c r="B1" s="60" t="s">
        <v>21</v>
      </c>
      <c r="C1" s="60" t="s">
        <v>22</v>
      </c>
      <c r="D1" s="60" t="s">
        <v>23</v>
      </c>
      <c r="E1" s="60" t="s">
        <v>24</v>
      </c>
      <c r="F1" s="60" t="s">
        <v>25</v>
      </c>
      <c r="G1" s="60" t="s">
        <v>26</v>
      </c>
      <c r="H1" s="60" t="s">
        <v>27</v>
      </c>
      <c r="I1" s="60" t="s">
        <v>28</v>
      </c>
      <c r="J1" s="60" t="s">
        <v>29</v>
      </c>
      <c r="K1" s="60" t="s">
        <v>55</v>
      </c>
      <c r="L1" s="60" t="s">
        <v>56</v>
      </c>
    </row>
    <row r="2" spans="1:12">
      <c r="A2" s="45" t="s">
        <v>30</v>
      </c>
      <c r="B2" s="46">
        <f>+'Efectivo Priv'!B6</f>
        <v>0</v>
      </c>
      <c r="C2" s="46">
        <f>+'Efectivo Priv'!C6</f>
        <v>170</v>
      </c>
      <c r="D2" s="46">
        <f>+'Efectivo Priv'!D6</f>
        <v>179.06344410876133</v>
      </c>
      <c r="E2" s="46">
        <f>+'Efectivo Priv'!E6</f>
        <v>189.03323262839879</v>
      </c>
      <c r="F2" s="46">
        <f>+'Efectivo Priv'!F6</f>
        <v>200</v>
      </c>
      <c r="G2" s="46">
        <f>+'Efectivo Priv'!G6</f>
        <v>200</v>
      </c>
      <c r="H2" s="46">
        <f>+'Efectivo Priv'!H6</f>
        <v>200</v>
      </c>
      <c r="I2" s="46">
        <f>+'Efectivo Priv'!I6</f>
        <v>200</v>
      </c>
      <c r="J2" s="46">
        <f>+'Efectivo Priv'!J6</f>
        <v>200</v>
      </c>
      <c r="K2" s="46">
        <f>+'Efectivo Priv'!K6</f>
        <v>200</v>
      </c>
      <c r="L2" s="46">
        <f>+'Efectivo Priv'!L6</f>
        <v>200</v>
      </c>
    </row>
    <row r="3" spans="1:12">
      <c r="A3" s="45" t="s">
        <v>34</v>
      </c>
      <c r="B3" s="46">
        <f>+'Efectivo Priv'!B11</f>
        <v>0</v>
      </c>
      <c r="C3" s="46">
        <f>+'Efectivo Priv'!C11</f>
        <v>0</v>
      </c>
      <c r="D3" s="46">
        <f>+'Efectivo Priv'!D11</f>
        <v>0</v>
      </c>
      <c r="E3" s="46">
        <f>+'Efectivo Priv'!E11</f>
        <v>0</v>
      </c>
      <c r="F3" s="46">
        <f>+'Efectivo Priv'!F11</f>
        <v>0</v>
      </c>
      <c r="G3" s="46">
        <f>+'Efectivo Priv'!G11</f>
        <v>0</v>
      </c>
      <c r="H3" s="46">
        <f>+'Efectivo Priv'!H11</f>
        <v>0</v>
      </c>
      <c r="I3" s="46">
        <f>+'Efectivo Priv'!I11</f>
        <v>0</v>
      </c>
      <c r="J3" s="46">
        <f>+'Efectivo Priv'!J11</f>
        <v>0</v>
      </c>
      <c r="K3" s="46">
        <f>+'Efectivo Priv'!K11</f>
        <v>0</v>
      </c>
      <c r="L3" s="46">
        <f>+'Efectivo Priv'!L11</f>
        <v>0</v>
      </c>
    </row>
    <row r="4" spans="1:12">
      <c r="A4" s="45" t="s">
        <v>39</v>
      </c>
      <c r="B4" s="46">
        <f>'Efectivo Priv'!B16</f>
        <v>-700</v>
      </c>
      <c r="C4" s="46">
        <f>'Efectivo Priv'!C16</f>
        <v>-90.634441087613325</v>
      </c>
      <c r="D4" s="46">
        <f>'Efectivo Priv'!D16</f>
        <v>-99.697885196374656</v>
      </c>
      <c r="E4" s="46">
        <f>'Efectivo Priv'!E16</f>
        <v>-109.66767371601212</v>
      </c>
      <c r="F4" s="46">
        <f>-'Efectivo Priv'!F16</f>
        <v>0</v>
      </c>
      <c r="G4" s="46">
        <f>-'Efectivo Priv'!G16</f>
        <v>0</v>
      </c>
      <c r="H4" s="46">
        <f>-'Efectivo Priv'!H16</f>
        <v>0</v>
      </c>
      <c r="I4" s="46">
        <f>-'Efectivo Priv'!I16</f>
        <v>0</v>
      </c>
      <c r="J4" s="46">
        <f>-'Efectivo Priv'!J16</f>
        <v>0</v>
      </c>
      <c r="K4" s="46">
        <f>-'Efectivo Priv'!K16</f>
        <v>0</v>
      </c>
      <c r="L4" s="46">
        <f>-'Efectivo Priv'!L16</f>
        <v>0</v>
      </c>
    </row>
    <row r="5" spans="1:12">
      <c r="A5" s="47" t="s">
        <v>66</v>
      </c>
      <c r="B5" s="47">
        <f>SUM(B2:B4)</f>
        <v>-700</v>
      </c>
      <c r="C5" s="47">
        <f t="shared" ref="C5:G5" si="0">SUM(C2:C4)</f>
        <v>79.365558912386675</v>
      </c>
      <c r="D5" s="47">
        <f t="shared" si="0"/>
        <v>79.365558912386675</v>
      </c>
      <c r="E5" s="47">
        <f t="shared" si="0"/>
        <v>79.365558912386675</v>
      </c>
      <c r="F5" s="47">
        <f t="shared" si="0"/>
        <v>200</v>
      </c>
      <c r="G5" s="47">
        <f t="shared" si="0"/>
        <v>200</v>
      </c>
      <c r="H5" s="47">
        <f t="shared" ref="H5:L5" si="1">SUM(H2:H4)</f>
        <v>200</v>
      </c>
      <c r="I5" s="47">
        <f t="shared" si="1"/>
        <v>200</v>
      </c>
      <c r="J5" s="47">
        <f t="shared" si="1"/>
        <v>200</v>
      </c>
      <c r="K5" s="47">
        <f t="shared" si="1"/>
        <v>200</v>
      </c>
      <c r="L5" s="47">
        <f t="shared" si="1"/>
        <v>200</v>
      </c>
    </row>
    <row r="6" spans="1:12">
      <c r="A6" s="47" t="s">
        <v>67</v>
      </c>
      <c r="B6" s="47"/>
      <c r="C6" s="47">
        <v>130</v>
      </c>
      <c r="D6" s="47">
        <v>130</v>
      </c>
      <c r="E6" s="47">
        <v>130</v>
      </c>
      <c r="F6" s="47">
        <v>130</v>
      </c>
      <c r="G6" s="47">
        <v>130</v>
      </c>
      <c r="H6" s="47">
        <v>130</v>
      </c>
      <c r="I6" s="47">
        <v>130</v>
      </c>
      <c r="J6" s="47">
        <v>130</v>
      </c>
      <c r="K6" s="47">
        <v>130</v>
      </c>
      <c r="L6" s="47">
        <v>130</v>
      </c>
    </row>
    <row r="8" spans="1:12">
      <c r="A8" s="47" t="s">
        <v>65</v>
      </c>
      <c r="B8" s="47">
        <f>+B5-B6</f>
        <v>-700</v>
      </c>
      <c r="C8" s="47">
        <f t="shared" ref="C8:L8" si="2">+C5-C6</f>
        <v>-50.634441087613325</v>
      </c>
      <c r="D8" s="47">
        <f t="shared" si="2"/>
        <v>-50.634441087613325</v>
      </c>
      <c r="E8" s="47">
        <f t="shared" si="2"/>
        <v>-50.634441087613325</v>
      </c>
      <c r="F8" s="47">
        <f t="shared" si="2"/>
        <v>70</v>
      </c>
      <c r="G8" s="47">
        <f t="shared" si="2"/>
        <v>70</v>
      </c>
      <c r="H8" s="47">
        <f t="shared" si="2"/>
        <v>70</v>
      </c>
      <c r="I8" s="47">
        <f t="shared" si="2"/>
        <v>70</v>
      </c>
      <c r="J8" s="47">
        <f t="shared" si="2"/>
        <v>70</v>
      </c>
      <c r="K8" s="47">
        <f t="shared" si="2"/>
        <v>70</v>
      </c>
      <c r="L8" s="47">
        <f t="shared" si="2"/>
        <v>70</v>
      </c>
    </row>
    <row r="10" spans="1:12">
      <c r="A10" s="48" t="s">
        <v>57</v>
      </c>
      <c r="B10" s="49">
        <f>NPV(0.05,C8:L8)+B8</f>
        <v>-487.9960589231153</v>
      </c>
    </row>
    <row r="11" spans="1:12">
      <c r="A11" s="48" t="s">
        <v>12</v>
      </c>
      <c r="B11" s="50">
        <f>IRR(B8:L8)</f>
        <v>-7.8380715408523538E-2</v>
      </c>
    </row>
    <row r="12" spans="1:12">
      <c r="A12" s="48"/>
      <c r="B12" s="51"/>
      <c r="C12" s="52"/>
      <c r="D12" s="53"/>
    </row>
    <row r="14" spans="1:12">
      <c r="B14" s="60" t="s">
        <v>21</v>
      </c>
      <c r="C14" s="60" t="s">
        <v>22</v>
      </c>
      <c r="D14" s="60" t="s">
        <v>23</v>
      </c>
      <c r="E14" s="60" t="s">
        <v>24</v>
      </c>
      <c r="F14" s="60" t="s">
        <v>25</v>
      </c>
      <c r="G14" s="60" t="s">
        <v>26</v>
      </c>
      <c r="H14" s="60" t="s">
        <v>27</v>
      </c>
      <c r="I14" s="60" t="s">
        <v>28</v>
      </c>
      <c r="J14" s="60" t="s">
        <v>29</v>
      </c>
      <c r="K14" s="60" t="s">
        <v>55</v>
      </c>
      <c r="L14" s="60" t="s">
        <v>56</v>
      </c>
    </row>
    <row r="15" spans="1:12">
      <c r="A15" s="45" t="s">
        <v>60</v>
      </c>
      <c r="B15" s="46"/>
      <c r="C15" s="46">
        <f>+'Resultados e Inv Priv'!D13-'Resultados e Inv Priv'!D18</f>
        <v>80</v>
      </c>
      <c r="D15" s="46">
        <f>+'Resultados e Inv Priv'!E13-'Resultados e Inv Priv'!E18</f>
        <v>70.936555891238669</v>
      </c>
      <c r="E15" s="46">
        <f>+'Resultados e Inv Priv'!F13-'Resultados e Inv Priv'!F18</f>
        <v>60.966767371601208</v>
      </c>
      <c r="F15" s="46">
        <f>+'Resultados e Inv Priv'!G13-'Resultados e Inv Priv'!G18</f>
        <v>50</v>
      </c>
      <c r="G15" s="46">
        <f>+'Resultados e Inv Priv'!H13-'Resultados e Inv Priv'!H18</f>
        <v>50</v>
      </c>
      <c r="H15" s="46">
        <f>+'Resultados e Inv Priv'!I13-'Resultados e Inv Priv'!I18</f>
        <v>50</v>
      </c>
      <c r="I15" s="46">
        <f>+'Resultados e Inv Priv'!J13-'Resultados e Inv Priv'!J18</f>
        <v>50</v>
      </c>
      <c r="J15" s="46">
        <f>+'Resultados e Inv Priv'!K13-'Resultados e Inv Priv'!K18</f>
        <v>50</v>
      </c>
      <c r="K15" s="46">
        <f>+'Resultados e Inv Priv'!L13-'Resultados e Inv Priv'!L18</f>
        <v>50</v>
      </c>
      <c r="L15" s="46">
        <f>+'Resultados e Inv Priv'!M13-'Resultados e Inv Priv'!M18</f>
        <v>50</v>
      </c>
    </row>
    <row r="16" spans="1:12">
      <c r="A16" s="45" t="s">
        <v>61</v>
      </c>
      <c r="B16" s="46">
        <f>-'Efectivo Priv'!B16</f>
        <v>700</v>
      </c>
      <c r="C16" s="46">
        <f>-'Efectivo Priv'!C16</f>
        <v>90.634441087613325</v>
      </c>
      <c r="D16" s="46">
        <f>-'Efectivo Priv'!D16</f>
        <v>99.697885196374656</v>
      </c>
      <c r="E16" s="46">
        <f>-'Efectivo Priv'!E16</f>
        <v>109.66767371601212</v>
      </c>
      <c r="F16" s="46">
        <f>+'Efectivo Priv'!F16</f>
        <v>0</v>
      </c>
      <c r="G16" s="46">
        <f>+'Efectivo Priv'!G16</f>
        <v>0</v>
      </c>
      <c r="H16" s="46">
        <f>+'Efectivo Priv'!H16</f>
        <v>0</v>
      </c>
      <c r="I16" s="46">
        <f>+'Efectivo Priv'!I16</f>
        <v>0</v>
      </c>
      <c r="J16" s="46">
        <f>+'Efectivo Priv'!J16</f>
        <v>0</v>
      </c>
      <c r="K16" s="46">
        <f>+'Efectivo Priv'!K16</f>
        <v>0</v>
      </c>
      <c r="L16" s="46">
        <f>+'Efectivo Priv'!L16</f>
        <v>0</v>
      </c>
    </row>
    <row r="17" spans="1:12">
      <c r="A17" s="47" t="s">
        <v>74</v>
      </c>
      <c r="B17" s="47">
        <f>+B16+B15</f>
        <v>700</v>
      </c>
      <c r="C17" s="47">
        <f t="shared" ref="C17:J17" si="3">+C16+C15</f>
        <v>170.63444108761331</v>
      </c>
      <c r="D17" s="47">
        <f t="shared" si="3"/>
        <v>170.63444108761331</v>
      </c>
      <c r="E17" s="47">
        <f t="shared" si="3"/>
        <v>170.63444108761331</v>
      </c>
      <c r="F17" s="47">
        <f t="shared" si="3"/>
        <v>50</v>
      </c>
      <c r="G17" s="47">
        <f t="shared" si="3"/>
        <v>50</v>
      </c>
      <c r="H17" s="47">
        <f t="shared" si="3"/>
        <v>50</v>
      </c>
      <c r="I17" s="47">
        <f t="shared" si="3"/>
        <v>50</v>
      </c>
      <c r="J17" s="47">
        <f t="shared" si="3"/>
        <v>50</v>
      </c>
      <c r="K17" s="47">
        <f t="shared" ref="K17" si="4">+K16+K15</f>
        <v>50</v>
      </c>
      <c r="L17" s="47">
        <f t="shared" ref="L17" si="5">+L16+L15</f>
        <v>50</v>
      </c>
    </row>
    <row r="18" spans="1:12">
      <c r="A18" s="47" t="s">
        <v>58</v>
      </c>
      <c r="B18" s="47"/>
      <c r="C18" s="47">
        <v>150</v>
      </c>
      <c r="D18" s="47">
        <v>200</v>
      </c>
      <c r="E18" s="47">
        <v>200</v>
      </c>
      <c r="F18" s="47">
        <v>200</v>
      </c>
      <c r="G18" s="47">
        <v>200</v>
      </c>
      <c r="H18" s="47">
        <v>200</v>
      </c>
      <c r="I18" s="47">
        <v>200</v>
      </c>
      <c r="J18" s="47">
        <v>200</v>
      </c>
      <c r="K18" s="47">
        <v>200</v>
      </c>
      <c r="L18" s="47">
        <v>200</v>
      </c>
    </row>
    <row r="20" spans="1:12">
      <c r="A20" s="48" t="s">
        <v>64</v>
      </c>
      <c r="B20" s="49">
        <f>NPV(0.05,C17:L17)+B17</f>
        <v>1414.6042504252925</v>
      </c>
    </row>
    <row r="21" spans="1:12">
      <c r="A21" s="48" t="s">
        <v>77</v>
      </c>
      <c r="B21" s="49">
        <f>NPV(0.05,C18:L18)</f>
        <v>1496.7279382179147</v>
      </c>
    </row>
    <row r="22" spans="1:12">
      <c r="A22" s="48" t="s">
        <v>62</v>
      </c>
      <c r="B22" s="49">
        <f>B20*((1+0.05)^10*0.05/((1+0.05)^10-1))</f>
        <v>183.19772219565598</v>
      </c>
    </row>
    <row r="23" spans="1:12">
      <c r="A23" s="48" t="s">
        <v>78</v>
      </c>
      <c r="B23" s="49">
        <f>-PMT(0.05,10,B21)</f>
        <v>193.83311547783535</v>
      </c>
    </row>
    <row r="24" spans="1:12">
      <c r="A24" s="48" t="s">
        <v>59</v>
      </c>
      <c r="B24" s="54">
        <f>SUM(C18:L18)/10</f>
        <v>195</v>
      </c>
    </row>
    <row r="25" spans="1:12">
      <c r="A25" s="48" t="s">
        <v>79</v>
      </c>
      <c r="B25" s="59">
        <f>+B22/B24</f>
        <v>0.93947549843926148</v>
      </c>
      <c r="C25" s="58"/>
    </row>
    <row r="26" spans="1:12">
      <c r="A26" s="48" t="s">
        <v>80</v>
      </c>
      <c r="B26" s="59">
        <f>+B22/B23</f>
        <v>0.94513118537066743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3F170-1B76-0045-AD73-34970E614999}">
  <dimension ref="A1:M24"/>
  <sheetViews>
    <sheetView workbookViewId="0">
      <selection activeCell="L32" sqref="L32"/>
    </sheetView>
  </sheetViews>
  <sheetFormatPr baseColWidth="10" defaultRowHeight="13"/>
  <cols>
    <col min="1" max="1" width="29.33203125" customWidth="1"/>
    <col min="2" max="2" width="6" customWidth="1"/>
  </cols>
  <sheetData>
    <row r="1" spans="1:13">
      <c r="B1" s="1"/>
      <c r="C1" s="1"/>
      <c r="D1" s="1"/>
      <c r="E1" s="1"/>
      <c r="F1" s="1"/>
      <c r="G1" s="1"/>
      <c r="H1" s="1"/>
    </row>
    <row r="2" spans="1:13">
      <c r="B2" s="1"/>
      <c r="C2" s="1"/>
      <c r="D2" s="1"/>
      <c r="E2" s="1"/>
      <c r="F2" s="1"/>
      <c r="G2" s="1"/>
      <c r="H2" s="1"/>
    </row>
    <row r="3" spans="1:13">
      <c r="B3" s="1"/>
      <c r="C3" s="1"/>
      <c r="D3" s="1"/>
      <c r="E3" s="1"/>
      <c r="F3" s="1"/>
      <c r="G3" s="1"/>
      <c r="H3" s="1"/>
    </row>
    <row r="4" spans="1:13" ht="18">
      <c r="A4" s="2"/>
      <c r="B4" s="2"/>
      <c r="C4" s="64" t="s">
        <v>63</v>
      </c>
      <c r="D4" s="64"/>
      <c r="E4" s="64"/>
      <c r="F4" s="64"/>
      <c r="G4" s="64"/>
      <c r="H4" s="64"/>
    </row>
    <row r="5" spans="1:13">
      <c r="A5" s="2"/>
      <c r="B5" s="2"/>
      <c r="C5" s="2"/>
      <c r="D5" s="2"/>
      <c r="E5" s="2"/>
      <c r="F5" s="2"/>
      <c r="G5" s="2"/>
      <c r="H5" s="2"/>
    </row>
    <row r="6" spans="1:13" s="61" customFormat="1">
      <c r="A6" s="3"/>
      <c r="B6" s="4" t="s">
        <v>2</v>
      </c>
      <c r="C6" s="57" t="s">
        <v>21</v>
      </c>
      <c r="D6" s="57" t="s">
        <v>22</v>
      </c>
      <c r="E6" s="57" t="s">
        <v>23</v>
      </c>
      <c r="F6" s="57" t="s">
        <v>24</v>
      </c>
      <c r="G6" s="57" t="s">
        <v>25</v>
      </c>
      <c r="H6" s="57" t="s">
        <v>26</v>
      </c>
      <c r="I6" s="57" t="s">
        <v>27</v>
      </c>
      <c r="J6" s="57" t="s">
        <v>28</v>
      </c>
      <c r="K6" s="57" t="s">
        <v>29</v>
      </c>
      <c r="L6" s="57" t="s">
        <v>55</v>
      </c>
      <c r="M6" s="57" t="s">
        <v>56</v>
      </c>
    </row>
    <row r="7" spans="1:13">
      <c r="A7" s="3"/>
      <c r="B7" s="17"/>
      <c r="C7" s="11"/>
      <c r="D7" s="11"/>
      <c r="E7" s="11"/>
      <c r="F7" s="11"/>
      <c r="G7" s="11"/>
      <c r="H7" s="12"/>
    </row>
    <row r="8" spans="1:13">
      <c r="A8" s="8" t="s">
        <v>0</v>
      </c>
      <c r="B8" s="7"/>
      <c r="C8" s="5">
        <f>SUM(C9:C12)</f>
        <v>940</v>
      </c>
      <c r="D8" s="5"/>
      <c r="E8" s="5"/>
      <c r="F8" s="5"/>
      <c r="G8" s="5"/>
      <c r="H8" s="6"/>
      <c r="I8" s="6"/>
      <c r="J8" s="6"/>
      <c r="K8" s="6"/>
      <c r="L8" s="6"/>
      <c r="M8" s="6"/>
    </row>
    <row r="9" spans="1:13">
      <c r="A9" s="9" t="s">
        <v>1</v>
      </c>
      <c r="B9" s="10">
        <v>1.2</v>
      </c>
      <c r="C9" s="6">
        <f>1000*0.4*B9</f>
        <v>480</v>
      </c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27" t="s">
        <v>16</v>
      </c>
      <c r="B10" s="10">
        <v>1</v>
      </c>
      <c r="C10" s="6">
        <f>1000*0.3*B10</f>
        <v>300</v>
      </c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9" t="s">
        <v>3</v>
      </c>
      <c r="B11" s="10">
        <v>0.8</v>
      </c>
      <c r="C11" s="6">
        <f>1000*0.1*B11</f>
        <v>80</v>
      </c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>
      <c r="A12" s="27" t="s">
        <v>17</v>
      </c>
      <c r="B12" s="10">
        <v>0.4</v>
      </c>
      <c r="C12" s="6">
        <f>1000*0.2*B12</f>
        <v>80</v>
      </c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>
      <c r="A13" s="16"/>
      <c r="B13" s="18"/>
      <c r="C13" s="12"/>
      <c r="D13" s="12"/>
      <c r="E13" s="12"/>
      <c r="F13" s="12"/>
      <c r="G13" s="12"/>
      <c r="H13" s="12"/>
    </row>
    <row r="14" spans="1:13">
      <c r="A14" s="2"/>
      <c r="B14" s="18"/>
      <c r="C14" s="12"/>
      <c r="D14" s="12"/>
      <c r="E14" s="12"/>
      <c r="F14" s="12"/>
      <c r="G14" s="12"/>
      <c r="H14" s="12"/>
    </row>
    <row r="15" spans="1:13">
      <c r="A15" s="8" t="s">
        <v>4</v>
      </c>
      <c r="B15" s="10"/>
      <c r="C15" s="5">
        <f t="shared" ref="C15:H15" si="0">SUM(C16:C18)</f>
        <v>0</v>
      </c>
      <c r="D15" s="5">
        <f t="shared" si="0"/>
        <v>42</v>
      </c>
      <c r="E15" s="5">
        <f t="shared" si="0"/>
        <v>42</v>
      </c>
      <c r="F15" s="5">
        <f t="shared" si="0"/>
        <v>42</v>
      </c>
      <c r="G15" s="5">
        <f t="shared" si="0"/>
        <v>42</v>
      </c>
      <c r="H15" s="5">
        <f t="shared" si="0"/>
        <v>42</v>
      </c>
      <c r="I15" s="5">
        <f t="shared" ref="I15:M15" si="1">SUM(I16:I18)</f>
        <v>42</v>
      </c>
      <c r="J15" s="5">
        <f t="shared" si="1"/>
        <v>42</v>
      </c>
      <c r="K15" s="5">
        <f t="shared" si="1"/>
        <v>42</v>
      </c>
      <c r="L15" s="5">
        <f t="shared" si="1"/>
        <v>42</v>
      </c>
      <c r="M15" s="5">
        <f t="shared" si="1"/>
        <v>42</v>
      </c>
    </row>
    <row r="16" spans="1:13">
      <c r="A16" s="27" t="s">
        <v>17</v>
      </c>
      <c r="B16" s="10">
        <v>0.4</v>
      </c>
      <c r="C16" s="6"/>
      <c r="D16" s="6">
        <f>20*$B$16</f>
        <v>8</v>
      </c>
      <c r="E16" s="6">
        <f>20*$B$16</f>
        <v>8</v>
      </c>
      <c r="F16" s="6">
        <f>20*$B$16</f>
        <v>8</v>
      </c>
      <c r="G16" s="6">
        <f>20*$B$16</f>
        <v>8</v>
      </c>
      <c r="H16" s="6">
        <f>20*$B$16</f>
        <v>8</v>
      </c>
      <c r="I16" s="6">
        <f t="shared" ref="I16:M16" si="2">20*$B$16</f>
        <v>8</v>
      </c>
      <c r="J16" s="6">
        <f t="shared" si="2"/>
        <v>8</v>
      </c>
      <c r="K16" s="6">
        <f t="shared" si="2"/>
        <v>8</v>
      </c>
      <c r="L16" s="6">
        <f t="shared" si="2"/>
        <v>8</v>
      </c>
      <c r="M16" s="6">
        <f t="shared" si="2"/>
        <v>8</v>
      </c>
    </row>
    <row r="17" spans="1:13">
      <c r="A17" s="27" t="s">
        <v>19</v>
      </c>
      <c r="B17" s="10">
        <v>1.2</v>
      </c>
      <c r="C17" s="6"/>
      <c r="D17" s="6">
        <f>20*$B$17</f>
        <v>24</v>
      </c>
      <c r="E17" s="6">
        <f>20*$B$17</f>
        <v>24</v>
      </c>
      <c r="F17" s="6">
        <f>20*$B$17</f>
        <v>24</v>
      </c>
      <c r="G17" s="6">
        <f>20*$B$17</f>
        <v>24</v>
      </c>
      <c r="H17" s="6">
        <f>20*$B$17</f>
        <v>24</v>
      </c>
      <c r="I17" s="6">
        <f t="shared" ref="I17:M17" si="3">20*$B$17</f>
        <v>24</v>
      </c>
      <c r="J17" s="6">
        <f t="shared" si="3"/>
        <v>24</v>
      </c>
      <c r="K17" s="6">
        <f t="shared" si="3"/>
        <v>24</v>
      </c>
      <c r="L17" s="6">
        <f t="shared" si="3"/>
        <v>24</v>
      </c>
      <c r="M17" s="6">
        <f t="shared" si="3"/>
        <v>24</v>
      </c>
    </row>
    <row r="18" spans="1:13">
      <c r="A18" s="27" t="s">
        <v>68</v>
      </c>
      <c r="B18" s="10">
        <v>1</v>
      </c>
      <c r="C18" s="6"/>
      <c r="D18" s="6">
        <f>10*$B$18</f>
        <v>10</v>
      </c>
      <c r="E18" s="6">
        <f>10*$B$18</f>
        <v>10</v>
      </c>
      <c r="F18" s="6">
        <f>10*$B$18</f>
        <v>10</v>
      </c>
      <c r="G18" s="6">
        <f>10*$B$18</f>
        <v>10</v>
      </c>
      <c r="H18" s="6">
        <f>10*$B$18</f>
        <v>10</v>
      </c>
      <c r="I18" s="6">
        <f t="shared" ref="I18:M18" si="4">10*$B$18</f>
        <v>10</v>
      </c>
      <c r="J18" s="6">
        <f t="shared" si="4"/>
        <v>10</v>
      </c>
      <c r="K18" s="6">
        <f t="shared" si="4"/>
        <v>10</v>
      </c>
      <c r="L18" s="6">
        <f t="shared" si="4"/>
        <v>10</v>
      </c>
      <c r="M18" s="6">
        <f t="shared" si="4"/>
        <v>10</v>
      </c>
    </row>
    <row r="19" spans="1:13">
      <c r="A19" s="2"/>
      <c r="B19" s="18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3">
      <c r="A20" s="8" t="s">
        <v>69</v>
      </c>
      <c r="B20" s="10"/>
      <c r="C20" s="5"/>
      <c r="D20" s="5">
        <f t="shared" ref="D20:M20" si="5">SUM(D21:D21)</f>
        <v>500</v>
      </c>
      <c r="E20" s="5">
        <f t="shared" si="5"/>
        <v>500</v>
      </c>
      <c r="F20" s="5">
        <f t="shared" si="5"/>
        <v>500</v>
      </c>
      <c r="G20" s="5">
        <f t="shared" si="5"/>
        <v>500</v>
      </c>
      <c r="H20" s="5">
        <f t="shared" si="5"/>
        <v>500</v>
      </c>
      <c r="I20" s="5">
        <f t="shared" si="5"/>
        <v>500</v>
      </c>
      <c r="J20" s="5">
        <f t="shared" si="5"/>
        <v>500</v>
      </c>
      <c r="K20" s="5">
        <f t="shared" si="5"/>
        <v>500</v>
      </c>
      <c r="L20" s="5">
        <f t="shared" si="5"/>
        <v>500</v>
      </c>
      <c r="M20" s="5">
        <f t="shared" si="5"/>
        <v>500</v>
      </c>
    </row>
    <row r="21" spans="1:13">
      <c r="A21" s="9" t="s">
        <v>11</v>
      </c>
      <c r="B21" s="10">
        <v>1</v>
      </c>
      <c r="C21" s="6"/>
      <c r="D21" s="6">
        <v>500</v>
      </c>
      <c r="E21" s="6">
        <v>500</v>
      </c>
      <c r="F21" s="6">
        <v>500</v>
      </c>
      <c r="G21" s="6">
        <v>500</v>
      </c>
      <c r="H21" s="6">
        <v>500</v>
      </c>
      <c r="I21" s="6">
        <v>500</v>
      </c>
      <c r="J21" s="6">
        <v>500</v>
      </c>
      <c r="K21" s="6">
        <v>500</v>
      </c>
      <c r="L21" s="6">
        <v>500</v>
      </c>
      <c r="M21" s="6">
        <v>500</v>
      </c>
    </row>
    <row r="22" spans="1:13">
      <c r="A22" s="2"/>
      <c r="B22" s="18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3">
      <c r="A23" s="20" t="s">
        <v>10</v>
      </c>
      <c r="B23" s="22"/>
      <c r="C23" s="21">
        <f t="shared" ref="C23:H23" si="6">+C20-C15</f>
        <v>0</v>
      </c>
      <c r="D23" s="21">
        <f t="shared" si="6"/>
        <v>458</v>
      </c>
      <c r="E23" s="21">
        <f t="shared" si="6"/>
        <v>458</v>
      </c>
      <c r="F23" s="21">
        <f t="shared" si="6"/>
        <v>458</v>
      </c>
      <c r="G23" s="21">
        <f t="shared" si="6"/>
        <v>458</v>
      </c>
      <c r="H23" s="21">
        <f t="shared" si="6"/>
        <v>458</v>
      </c>
      <c r="I23" s="21">
        <f t="shared" ref="I23:M23" si="7">+I20-I15</f>
        <v>458</v>
      </c>
      <c r="J23" s="21">
        <f t="shared" si="7"/>
        <v>458</v>
      </c>
      <c r="K23" s="21">
        <f t="shared" si="7"/>
        <v>458</v>
      </c>
      <c r="L23" s="21">
        <f t="shared" si="7"/>
        <v>458</v>
      </c>
      <c r="M23" s="21">
        <f t="shared" si="7"/>
        <v>458</v>
      </c>
    </row>
    <row r="24" spans="1:13">
      <c r="A24" s="2"/>
      <c r="B24" s="19"/>
      <c r="C24" s="12"/>
      <c r="D24" s="12"/>
      <c r="E24" s="12"/>
      <c r="F24" s="12"/>
      <c r="G24" s="12"/>
      <c r="H24" s="12"/>
    </row>
  </sheetData>
  <mergeCells count="1">
    <mergeCell ref="C4:H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6A5F5-AAFC-6343-8227-FF3C0A2477F9}">
  <dimension ref="A1:L13"/>
  <sheetViews>
    <sheetView workbookViewId="0">
      <selection activeCell="E42" sqref="E42"/>
    </sheetView>
  </sheetViews>
  <sheetFormatPr baseColWidth="10" defaultRowHeight="13"/>
  <cols>
    <col min="1" max="1" width="41.83203125" style="28" customWidth="1"/>
    <col min="2" max="2" width="14.83203125" style="28" customWidth="1"/>
    <col min="3" max="16384" width="10.83203125" style="28"/>
  </cols>
  <sheetData>
    <row r="1" spans="1:12">
      <c r="B1" s="29" t="s">
        <v>21</v>
      </c>
      <c r="C1" s="29" t="s">
        <v>22</v>
      </c>
      <c r="D1" s="29" t="s">
        <v>23</v>
      </c>
      <c r="E1" s="29" t="s">
        <v>24</v>
      </c>
      <c r="F1" s="29" t="s">
        <v>25</v>
      </c>
      <c r="G1" s="29" t="s">
        <v>26</v>
      </c>
      <c r="H1" s="29" t="s">
        <v>27</v>
      </c>
      <c r="I1" s="29" t="s">
        <v>28</v>
      </c>
      <c r="J1" s="29" t="s">
        <v>29</v>
      </c>
      <c r="K1" s="29" t="s">
        <v>55</v>
      </c>
      <c r="L1" s="29" t="s">
        <v>56</v>
      </c>
    </row>
    <row r="2" spans="1:12" ht="16">
      <c r="A2" s="30" t="s">
        <v>30</v>
      </c>
      <c r="B2" s="31"/>
      <c r="C2" s="32"/>
      <c r="D2" s="32"/>
      <c r="E2" s="32"/>
      <c r="F2" s="32"/>
      <c r="G2" s="32"/>
    </row>
    <row r="3" spans="1:12">
      <c r="A3" s="44" t="s">
        <v>70</v>
      </c>
      <c r="B3" s="32">
        <f>+'Result E Inv Social'!C23</f>
        <v>0</v>
      </c>
      <c r="C3" s="32">
        <f>+'Result E Inv Social'!D23</f>
        <v>458</v>
      </c>
      <c r="D3" s="32">
        <f>+'Result E Inv Social'!E23</f>
        <v>458</v>
      </c>
      <c r="E3" s="32">
        <f>+'Result E Inv Social'!F23</f>
        <v>458</v>
      </c>
      <c r="F3" s="32">
        <f>+'Result E Inv Social'!G23</f>
        <v>458</v>
      </c>
      <c r="G3" s="32">
        <f>+'Result E Inv Social'!H23</f>
        <v>458</v>
      </c>
      <c r="H3" s="32">
        <f>+'Result E Inv Social'!I23</f>
        <v>458</v>
      </c>
      <c r="I3" s="32">
        <f>+'Result E Inv Social'!J23</f>
        <v>458</v>
      </c>
      <c r="J3" s="32">
        <f>+'Result E Inv Social'!K23</f>
        <v>458</v>
      </c>
      <c r="K3" s="32">
        <f>+'Result E Inv Social'!L23</f>
        <v>458</v>
      </c>
      <c r="L3" s="32">
        <f>+'Result E Inv Social'!M23</f>
        <v>458</v>
      </c>
    </row>
    <row r="4" spans="1:12">
      <c r="A4" s="33" t="s">
        <v>33</v>
      </c>
      <c r="B4" s="34">
        <f>+B3</f>
        <v>0</v>
      </c>
      <c r="C4" s="34">
        <f t="shared" ref="C4:L4" si="0">+C3</f>
        <v>458</v>
      </c>
      <c r="D4" s="34">
        <f t="shared" si="0"/>
        <v>458</v>
      </c>
      <c r="E4" s="34">
        <f t="shared" si="0"/>
        <v>458</v>
      </c>
      <c r="F4" s="34">
        <f t="shared" si="0"/>
        <v>458</v>
      </c>
      <c r="G4" s="34">
        <f t="shared" si="0"/>
        <v>458</v>
      </c>
      <c r="H4" s="34">
        <f t="shared" si="0"/>
        <v>458</v>
      </c>
      <c r="I4" s="34">
        <f t="shared" si="0"/>
        <v>458</v>
      </c>
      <c r="J4" s="34">
        <f t="shared" si="0"/>
        <v>458</v>
      </c>
      <c r="K4" s="34">
        <f t="shared" si="0"/>
        <v>458</v>
      </c>
      <c r="L4" s="34">
        <f t="shared" si="0"/>
        <v>458</v>
      </c>
    </row>
    <row r="5" spans="1:12" ht="16">
      <c r="A5" s="30" t="s">
        <v>34</v>
      </c>
      <c r="B5" s="31"/>
      <c r="C5" s="32"/>
      <c r="D5" s="32"/>
      <c r="E5" s="32"/>
      <c r="F5" s="32"/>
      <c r="G5" s="32"/>
    </row>
    <row r="6" spans="1:12">
      <c r="A6" s="28" t="s">
        <v>35</v>
      </c>
      <c r="B6" s="32"/>
      <c r="D6" s="32"/>
      <c r="E6" s="32"/>
      <c r="F6" s="32"/>
      <c r="G6" s="32"/>
    </row>
    <row r="7" spans="1:12">
      <c r="A7" s="28" t="s">
        <v>36</v>
      </c>
      <c r="B7" s="32"/>
      <c r="C7" s="32"/>
      <c r="D7" s="32"/>
      <c r="E7" s="32"/>
      <c r="F7" s="32"/>
      <c r="G7" s="32"/>
    </row>
    <row r="8" spans="1:12">
      <c r="A8" s="28" t="s">
        <v>37</v>
      </c>
      <c r="B8" s="32"/>
      <c r="C8" s="32"/>
      <c r="D8" s="32"/>
      <c r="E8" s="32"/>
      <c r="F8" s="32"/>
      <c r="G8" s="32"/>
    </row>
    <row r="9" spans="1:12">
      <c r="A9" s="33" t="s">
        <v>38</v>
      </c>
      <c r="B9" s="34">
        <f>+B6+B7+B8</f>
        <v>0</v>
      </c>
      <c r="C9" s="34">
        <f t="shared" ref="C9:L9" si="1">+C6+C7+C8</f>
        <v>0</v>
      </c>
      <c r="D9" s="34">
        <f t="shared" si="1"/>
        <v>0</v>
      </c>
      <c r="E9" s="34">
        <f t="shared" si="1"/>
        <v>0</v>
      </c>
      <c r="F9" s="34">
        <f t="shared" si="1"/>
        <v>0</v>
      </c>
      <c r="G9" s="34">
        <f t="shared" si="1"/>
        <v>0</v>
      </c>
      <c r="H9" s="34">
        <f t="shared" si="1"/>
        <v>0</v>
      </c>
      <c r="I9" s="34">
        <f t="shared" si="1"/>
        <v>0</v>
      </c>
      <c r="J9" s="34">
        <f t="shared" si="1"/>
        <v>0</v>
      </c>
      <c r="K9" s="34">
        <f t="shared" si="1"/>
        <v>0</v>
      </c>
      <c r="L9" s="34">
        <f t="shared" si="1"/>
        <v>0</v>
      </c>
    </row>
    <row r="10" spans="1:12" ht="16">
      <c r="A10" s="30" t="s">
        <v>39</v>
      </c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</row>
    <row r="11" spans="1:12">
      <c r="A11" s="44" t="s">
        <v>72</v>
      </c>
      <c r="B11" s="32">
        <f>+'Result E Inv Social'!C8</f>
        <v>940</v>
      </c>
      <c r="D11" s="32"/>
      <c r="E11" s="32"/>
      <c r="F11" s="32"/>
      <c r="G11" s="32"/>
      <c r="H11" s="32"/>
      <c r="I11" s="32"/>
      <c r="J11" s="32"/>
      <c r="K11" s="32"/>
      <c r="L11" s="32"/>
    </row>
    <row r="12" spans="1:12">
      <c r="A12" s="44" t="s">
        <v>71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</row>
    <row r="13" spans="1:12">
      <c r="A13" s="33" t="s">
        <v>42</v>
      </c>
      <c r="B13" s="34">
        <f t="shared" ref="B13:L13" si="2">SUM(B11:B12)</f>
        <v>940</v>
      </c>
      <c r="C13" s="34">
        <f t="shared" si="2"/>
        <v>0</v>
      </c>
      <c r="D13" s="34">
        <f t="shared" si="2"/>
        <v>0</v>
      </c>
      <c r="E13" s="34">
        <f t="shared" si="2"/>
        <v>0</v>
      </c>
      <c r="F13" s="34">
        <f t="shared" si="2"/>
        <v>0</v>
      </c>
      <c r="G13" s="34">
        <f t="shared" si="2"/>
        <v>0</v>
      </c>
      <c r="H13" s="34">
        <f t="shared" si="2"/>
        <v>0</v>
      </c>
      <c r="I13" s="34">
        <f t="shared" si="2"/>
        <v>0</v>
      </c>
      <c r="J13" s="34">
        <f t="shared" si="2"/>
        <v>0</v>
      </c>
      <c r="K13" s="34">
        <f t="shared" si="2"/>
        <v>0</v>
      </c>
      <c r="L13" s="34">
        <f t="shared" si="2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64CF1-56BC-4442-88AD-1EEEEF63C3B4}">
  <dimension ref="A1:L25"/>
  <sheetViews>
    <sheetView workbookViewId="0">
      <selection activeCell="C26" sqref="C26"/>
    </sheetView>
  </sheetViews>
  <sheetFormatPr baseColWidth="10" defaultRowHeight="16"/>
  <cols>
    <col min="1" max="1" width="34.1640625" style="45" customWidth="1"/>
    <col min="2" max="2" width="14.83203125" style="45" customWidth="1"/>
    <col min="3" max="3" width="14.6640625" style="45" bestFit="1" customWidth="1"/>
    <col min="4" max="16384" width="10.83203125" style="45"/>
  </cols>
  <sheetData>
    <row r="1" spans="1:12" s="62" customFormat="1">
      <c r="B1" s="60" t="s">
        <v>21</v>
      </c>
      <c r="C1" s="60" t="s">
        <v>22</v>
      </c>
      <c r="D1" s="60" t="s">
        <v>23</v>
      </c>
      <c r="E1" s="60" t="s">
        <v>24</v>
      </c>
      <c r="F1" s="60" t="s">
        <v>25</v>
      </c>
      <c r="G1" s="60" t="s">
        <v>26</v>
      </c>
      <c r="H1" s="60" t="s">
        <v>27</v>
      </c>
      <c r="I1" s="60" t="s">
        <v>28</v>
      </c>
      <c r="J1" s="60" t="s">
        <v>29</v>
      </c>
      <c r="K1" s="60" t="s">
        <v>55</v>
      </c>
      <c r="L1" s="60" t="s">
        <v>56</v>
      </c>
    </row>
    <row r="2" spans="1:12">
      <c r="A2" s="45" t="s">
        <v>30</v>
      </c>
      <c r="B2" s="46">
        <f>+'Efectivo Soc'!B4</f>
        <v>0</v>
      </c>
      <c r="C2" s="46">
        <f>+'Efectivo Soc'!C4</f>
        <v>458</v>
      </c>
      <c r="D2" s="46">
        <f>+'Efectivo Soc'!D4</f>
        <v>458</v>
      </c>
      <c r="E2" s="46">
        <f>+'Efectivo Soc'!E4</f>
        <v>458</v>
      </c>
      <c r="F2" s="46">
        <f>+'Efectivo Soc'!F4</f>
        <v>458</v>
      </c>
      <c r="G2" s="46">
        <f>+'Efectivo Soc'!G4</f>
        <v>458</v>
      </c>
      <c r="H2" s="46">
        <f>+'Efectivo Soc'!H4</f>
        <v>458</v>
      </c>
      <c r="I2" s="46">
        <f>+'Efectivo Soc'!I4</f>
        <v>458</v>
      </c>
      <c r="J2" s="46">
        <f>+'Efectivo Soc'!J4</f>
        <v>458</v>
      </c>
      <c r="K2" s="46">
        <f>+'Efectivo Soc'!K4</f>
        <v>458</v>
      </c>
      <c r="L2" s="46">
        <f>+'Efectivo Soc'!L4</f>
        <v>458</v>
      </c>
    </row>
    <row r="3" spans="1:12">
      <c r="A3" s="45" t="s">
        <v>34</v>
      </c>
      <c r="B3" s="46">
        <f>+'Efectivo Soc'!B9</f>
        <v>0</v>
      </c>
      <c r="C3" s="46">
        <f>+'Efectivo Soc'!C9</f>
        <v>0</v>
      </c>
      <c r="D3" s="46">
        <f>+'Efectivo Soc'!D9</f>
        <v>0</v>
      </c>
      <c r="E3" s="46">
        <f>+'Efectivo Soc'!E9</f>
        <v>0</v>
      </c>
      <c r="F3" s="46">
        <f>+'Efectivo Soc'!F9</f>
        <v>0</v>
      </c>
      <c r="G3" s="46">
        <f>+'Efectivo Soc'!G9</f>
        <v>0</v>
      </c>
      <c r="H3" s="46">
        <f>+'Efectivo Soc'!H9</f>
        <v>0</v>
      </c>
      <c r="I3" s="46">
        <f>+'Efectivo Soc'!I9</f>
        <v>0</v>
      </c>
      <c r="J3" s="46">
        <f>+'Efectivo Soc'!J9</f>
        <v>0</v>
      </c>
      <c r="K3" s="46">
        <f>+'Efectivo Soc'!K9</f>
        <v>0</v>
      </c>
      <c r="L3" s="46">
        <f>+'Efectivo Soc'!L9</f>
        <v>0</v>
      </c>
    </row>
    <row r="4" spans="1:12">
      <c r="A4" s="45" t="s">
        <v>39</v>
      </c>
      <c r="B4" s="46">
        <f>-'Efectivo Soc'!B13</f>
        <v>-940</v>
      </c>
      <c r="C4" s="46">
        <f>-'Efectivo Soc'!C13</f>
        <v>0</v>
      </c>
      <c r="D4" s="46">
        <f>-'Efectivo Soc'!D13</f>
        <v>0</v>
      </c>
      <c r="E4" s="46">
        <f>-'Efectivo Soc'!E13</f>
        <v>0</v>
      </c>
      <c r="F4" s="46">
        <f>-'Efectivo Soc'!F13</f>
        <v>0</v>
      </c>
      <c r="G4" s="46">
        <f>-'Efectivo Soc'!G13</f>
        <v>0</v>
      </c>
      <c r="H4" s="46">
        <f>-'Efectivo Soc'!H13</f>
        <v>0</v>
      </c>
      <c r="I4" s="46">
        <f>-'Efectivo Soc'!I13</f>
        <v>0</v>
      </c>
      <c r="J4" s="46">
        <f>-'Efectivo Soc'!J13</f>
        <v>0</v>
      </c>
      <c r="K4" s="46">
        <f>-'Efectivo Soc'!K13</f>
        <v>0</v>
      </c>
      <c r="L4" s="46">
        <f>-'Efectivo Soc'!L13</f>
        <v>0</v>
      </c>
    </row>
    <row r="5" spans="1:12">
      <c r="A5" s="47" t="s">
        <v>66</v>
      </c>
      <c r="B5" s="47">
        <f>SUM(B2:B4)</f>
        <v>-940</v>
      </c>
      <c r="C5" s="47">
        <f t="shared" ref="C5:L5" si="0">SUM(C2:C4)</f>
        <v>458</v>
      </c>
      <c r="D5" s="47">
        <f t="shared" si="0"/>
        <v>458</v>
      </c>
      <c r="E5" s="47">
        <f t="shared" si="0"/>
        <v>458</v>
      </c>
      <c r="F5" s="47">
        <f t="shared" si="0"/>
        <v>458</v>
      </c>
      <c r="G5" s="47">
        <f t="shared" si="0"/>
        <v>458</v>
      </c>
      <c r="H5" s="47">
        <f t="shared" si="0"/>
        <v>458</v>
      </c>
      <c r="I5" s="47">
        <f t="shared" si="0"/>
        <v>458</v>
      </c>
      <c r="J5" s="47">
        <f t="shared" si="0"/>
        <v>458</v>
      </c>
      <c r="K5" s="47">
        <f t="shared" si="0"/>
        <v>458</v>
      </c>
      <c r="L5" s="47">
        <f t="shared" si="0"/>
        <v>458</v>
      </c>
    </row>
    <row r="6" spans="1:12">
      <c r="A6" s="47" t="s">
        <v>67</v>
      </c>
      <c r="B6" s="47"/>
      <c r="C6" s="47">
        <v>100</v>
      </c>
      <c r="D6" s="47">
        <v>100</v>
      </c>
      <c r="E6" s="47">
        <v>100</v>
      </c>
      <c r="F6" s="47">
        <v>100</v>
      </c>
      <c r="G6" s="47">
        <v>100</v>
      </c>
      <c r="H6" s="47">
        <v>100</v>
      </c>
      <c r="I6" s="47">
        <v>100</v>
      </c>
      <c r="J6" s="47">
        <v>100</v>
      </c>
      <c r="K6" s="47">
        <v>100</v>
      </c>
      <c r="L6" s="47">
        <v>100</v>
      </c>
    </row>
    <row r="8" spans="1:12">
      <c r="A8" s="47" t="s">
        <v>65</v>
      </c>
      <c r="B8" s="47">
        <f>+B5-B6</f>
        <v>-940</v>
      </c>
      <c r="C8" s="47">
        <f t="shared" ref="C8:L8" si="1">+C5-C6</f>
        <v>358</v>
      </c>
      <c r="D8" s="47">
        <f t="shared" si="1"/>
        <v>358</v>
      </c>
      <c r="E8" s="47">
        <f t="shared" si="1"/>
        <v>358</v>
      </c>
      <c r="F8" s="47">
        <f t="shared" si="1"/>
        <v>358</v>
      </c>
      <c r="G8" s="47">
        <f t="shared" si="1"/>
        <v>358</v>
      </c>
      <c r="H8" s="47">
        <f t="shared" si="1"/>
        <v>358</v>
      </c>
      <c r="I8" s="47">
        <f t="shared" si="1"/>
        <v>358</v>
      </c>
      <c r="J8" s="47">
        <f t="shared" si="1"/>
        <v>358</v>
      </c>
      <c r="K8" s="47">
        <f t="shared" si="1"/>
        <v>358</v>
      </c>
      <c r="L8" s="47">
        <f t="shared" si="1"/>
        <v>358</v>
      </c>
    </row>
    <row r="9" spans="1:12">
      <c r="D9" s="45">
        <f>SUM(B5:D6)</f>
        <v>176</v>
      </c>
    </row>
    <row r="10" spans="1:12">
      <c r="A10" s="56" t="s">
        <v>13</v>
      </c>
      <c r="B10" s="49">
        <f>NPV(0.12,C8:L8)+B8</f>
        <v>1082.7798441710886</v>
      </c>
    </row>
    <row r="11" spans="1:12">
      <c r="A11" s="56" t="s">
        <v>14</v>
      </c>
      <c r="B11" s="50">
        <f>IRR(B8:L8)</f>
        <v>0.36373268297090267</v>
      </c>
    </row>
    <row r="13" spans="1:12" s="62" customFormat="1">
      <c r="B13" s="60" t="s">
        <v>21</v>
      </c>
      <c r="C13" s="60" t="s">
        <v>22</v>
      </c>
      <c r="D13" s="60" t="s">
        <v>23</v>
      </c>
      <c r="E13" s="60" t="s">
        <v>24</v>
      </c>
      <c r="F13" s="60" t="s">
        <v>25</v>
      </c>
      <c r="G13" s="60" t="s">
        <v>26</v>
      </c>
      <c r="H13" s="60" t="s">
        <v>27</v>
      </c>
      <c r="I13" s="60" t="s">
        <v>28</v>
      </c>
      <c r="J13" s="60" t="s">
        <v>29</v>
      </c>
      <c r="K13" s="60" t="s">
        <v>55</v>
      </c>
      <c r="L13" s="60" t="s">
        <v>56</v>
      </c>
    </row>
    <row r="14" spans="1:12">
      <c r="A14" s="45" t="s">
        <v>60</v>
      </c>
      <c r="B14" s="46"/>
      <c r="C14" s="46">
        <f>+'Result E Inv Social'!C15</f>
        <v>0</v>
      </c>
      <c r="D14" s="46">
        <f>+'Result E Inv Social'!D15</f>
        <v>42</v>
      </c>
      <c r="E14" s="46">
        <f>+'Result E Inv Social'!E15</f>
        <v>42</v>
      </c>
      <c r="F14" s="46">
        <f>+'Result E Inv Social'!F15</f>
        <v>42</v>
      </c>
      <c r="G14" s="46">
        <f>+'Result E Inv Social'!G15</f>
        <v>42</v>
      </c>
      <c r="H14" s="46">
        <f>+'Result E Inv Social'!H15</f>
        <v>42</v>
      </c>
      <c r="I14" s="46">
        <f>+'Result E Inv Social'!I15</f>
        <v>42</v>
      </c>
      <c r="J14" s="46">
        <f>+'Result E Inv Social'!J15</f>
        <v>42</v>
      </c>
      <c r="K14" s="46">
        <f>+'Result E Inv Social'!K15</f>
        <v>42</v>
      </c>
      <c r="L14" s="46">
        <f>+'Result E Inv Social'!L15</f>
        <v>42</v>
      </c>
    </row>
    <row r="15" spans="1:12">
      <c r="A15" s="45" t="s">
        <v>61</v>
      </c>
      <c r="B15" s="46">
        <f>+'Result E Inv Social'!C8</f>
        <v>940</v>
      </c>
      <c r="C15" s="46">
        <f>+'Result E Inv Social'!D8</f>
        <v>0</v>
      </c>
      <c r="D15" s="46">
        <f>+'Result E Inv Social'!E8</f>
        <v>0</v>
      </c>
      <c r="E15" s="46">
        <f>+'Result E Inv Social'!F8</f>
        <v>0</v>
      </c>
      <c r="F15" s="46">
        <f>+'Result E Inv Social'!G8</f>
        <v>0</v>
      </c>
      <c r="G15" s="46">
        <f>+'Result E Inv Social'!H8</f>
        <v>0</v>
      </c>
      <c r="H15" s="46">
        <f>+'Result E Inv Social'!I8</f>
        <v>0</v>
      </c>
      <c r="I15" s="46">
        <f>+'Result E Inv Social'!J8</f>
        <v>0</v>
      </c>
      <c r="J15" s="46">
        <f>+'Result E Inv Social'!K8</f>
        <v>0</v>
      </c>
      <c r="K15" s="46">
        <f>+'Result E Inv Social'!L8</f>
        <v>0</v>
      </c>
      <c r="L15" s="46">
        <f>+'Result E Inv Social'!M8</f>
        <v>0</v>
      </c>
    </row>
    <row r="16" spans="1:12">
      <c r="A16" s="47" t="s">
        <v>74</v>
      </c>
      <c r="B16" s="47">
        <f>+B15+B14</f>
        <v>940</v>
      </c>
      <c r="C16" s="47">
        <f t="shared" ref="C16:K16" si="2">+C15+C14</f>
        <v>0</v>
      </c>
      <c r="D16" s="47">
        <f t="shared" si="2"/>
        <v>42</v>
      </c>
      <c r="E16" s="47">
        <f t="shared" si="2"/>
        <v>42</v>
      </c>
      <c r="F16" s="47">
        <f t="shared" si="2"/>
        <v>42</v>
      </c>
      <c r="G16" s="47">
        <f t="shared" si="2"/>
        <v>42</v>
      </c>
      <c r="H16" s="47">
        <f t="shared" si="2"/>
        <v>42</v>
      </c>
      <c r="I16" s="47">
        <f t="shared" si="2"/>
        <v>42</v>
      </c>
      <c r="J16" s="47">
        <f t="shared" si="2"/>
        <v>42</v>
      </c>
      <c r="K16" s="47">
        <f t="shared" si="2"/>
        <v>42</v>
      </c>
      <c r="L16" s="47">
        <f t="shared" ref="L16" si="3">+L15+L14</f>
        <v>42</v>
      </c>
    </row>
    <row r="17" spans="1:12">
      <c r="A17" s="47" t="s">
        <v>58</v>
      </c>
      <c r="B17" s="47"/>
      <c r="C17" s="47">
        <v>150</v>
      </c>
      <c r="D17" s="47">
        <v>200</v>
      </c>
      <c r="E17" s="47">
        <v>200</v>
      </c>
      <c r="F17" s="47">
        <v>200</v>
      </c>
      <c r="G17" s="47">
        <v>200</v>
      </c>
      <c r="H17" s="47">
        <v>200</v>
      </c>
      <c r="I17" s="47">
        <v>200</v>
      </c>
      <c r="J17" s="47">
        <v>200</v>
      </c>
      <c r="K17" s="47">
        <v>200</v>
      </c>
      <c r="L17" s="47">
        <v>200</v>
      </c>
    </row>
    <row r="19" spans="1:12">
      <c r="A19" s="56" t="s">
        <v>73</v>
      </c>
      <c r="B19" s="49">
        <f>NPV(0.12,C16:L16)+B16</f>
        <v>1139.8093671932563</v>
      </c>
    </row>
    <row r="20" spans="1:12">
      <c r="A20" s="56" t="s">
        <v>75</v>
      </c>
      <c r="B20" s="49">
        <f>NPV(0.12, C17:L17)</f>
        <v>1085.4017485393153</v>
      </c>
    </row>
    <row r="21" spans="1:12">
      <c r="A21" s="56" t="s">
        <v>62</v>
      </c>
      <c r="B21" s="49">
        <f>-PMT(0.12,10,B19)</f>
        <v>201.72820815425931</v>
      </c>
    </row>
    <row r="22" spans="1:12">
      <c r="A22" s="56" t="s">
        <v>76</v>
      </c>
      <c r="B22" s="49">
        <f>-PMT(0.12,10,B20)</f>
        <v>192.09892124286401</v>
      </c>
    </row>
    <row r="23" spans="1:12">
      <c r="A23" s="56" t="s">
        <v>59</v>
      </c>
      <c r="B23" s="54">
        <f>SUM(C17:L17)/10</f>
        <v>195</v>
      </c>
    </row>
    <row r="24" spans="1:12">
      <c r="A24" s="56" t="s">
        <v>81</v>
      </c>
      <c r="B24" s="59">
        <f>+B21/B23</f>
        <v>1.0345036315603042</v>
      </c>
      <c r="C24" s="55"/>
    </row>
    <row r="25" spans="1:12">
      <c r="A25" s="56" t="s">
        <v>82</v>
      </c>
      <c r="B25" s="59">
        <f>+B21/B22</f>
        <v>1.0501267099736669</v>
      </c>
      <c r="C25" s="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Resultados e Inv Priv</vt:lpstr>
      <vt:lpstr>Prestamo</vt:lpstr>
      <vt:lpstr>Efectivo Priv</vt:lpstr>
      <vt:lpstr>Evaluación Priv</vt:lpstr>
      <vt:lpstr>Result E Inv Social</vt:lpstr>
      <vt:lpstr>Efectivo Soc</vt:lpstr>
      <vt:lpstr>Eval Soc</vt:lpstr>
    </vt:vector>
  </TitlesOfParts>
  <Company>GTZ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GTZ-DUF</dc:creator>
  <cp:lastModifiedBy>José Antonio Terán Carreón</cp:lastModifiedBy>
  <dcterms:created xsi:type="dcterms:W3CDTF">2002-02-11T21:44:37Z</dcterms:created>
  <dcterms:modified xsi:type="dcterms:W3CDTF">2018-07-19T14:51:26Z</dcterms:modified>
</cp:coreProperties>
</file>