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eAntonio/Documents/Proyectos 2018/CIDES GAMLP/Plan de Clases Final/CLASES/DOCS CLASES/"/>
    </mc:Choice>
  </mc:AlternateContent>
  <xr:revisionPtr revIDLastSave="0" documentId="8_{402679DA-D442-464E-A256-8D44E3769A7F}" xr6:coauthVersionLast="34" xr6:coauthVersionMax="34" xr10:uidLastSave="{00000000-0000-0000-0000-000000000000}"/>
  <bookViews>
    <workbookView xWindow="500" yWindow="8700" windowWidth="28460" windowHeight="20100" tabRatio="500" xr2:uid="{00000000-000D-0000-FFFF-FFFF00000000}"/>
  </bookViews>
  <sheets>
    <sheet name="Estados" sheetId="1" r:id="rId1"/>
    <sheet name="RES  INV" sheetId="2" r:id="rId2"/>
    <sheet name="Efectivo " sheetId="3" r:id="rId3"/>
    <sheet name="Indicadores" sheetId="4" r:id="rId4"/>
    <sheet name="Finc" sheetId="12" r:id="rId5"/>
    <sheet name="RES INV CFINC" sheetId="13" r:id="rId6"/>
    <sheet name="Efec con Financto" sheetId="11" r:id="rId7"/>
    <sheet name="Ind CF" sheetId="6" r:id="rId8"/>
  </sheets>
  <externalReferences>
    <externalReference r:id="rId9"/>
  </externalReferences>
  <definedNames>
    <definedName name="TASAAGUA">'Ind CF'!#REF!</definedName>
    <definedName name="TASAAS">'Ind CF'!#REF!</definedName>
  </definedNames>
  <calcPr calcId="179017"/>
  <fileRecoveryPr repairLoad="1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4" i="6" l="1"/>
  <c r="P3" i="6" l="1"/>
  <c r="Q3" i="6"/>
  <c r="R3" i="6"/>
  <c r="C3" i="6"/>
  <c r="D3" i="6"/>
  <c r="E3" i="6"/>
  <c r="F3" i="6"/>
  <c r="G3" i="6"/>
  <c r="H3" i="6"/>
  <c r="I3" i="6"/>
  <c r="J3" i="6"/>
  <c r="K3" i="6"/>
  <c r="L3" i="6"/>
  <c r="M3" i="6"/>
  <c r="N3" i="6"/>
  <c r="O3" i="6"/>
  <c r="B3" i="6"/>
  <c r="P4" i="6"/>
  <c r="Q4" i="6"/>
  <c r="K4" i="6"/>
  <c r="L4" i="6"/>
  <c r="M4" i="6"/>
  <c r="N4" i="6"/>
  <c r="O4" i="6"/>
  <c r="C4" i="6"/>
  <c r="D4" i="6"/>
  <c r="E4" i="6"/>
  <c r="F4" i="6"/>
  <c r="G4" i="6"/>
  <c r="H4" i="6"/>
  <c r="I4" i="6"/>
  <c r="J4" i="6"/>
  <c r="Q2" i="6"/>
  <c r="R2" i="6"/>
  <c r="M2" i="6"/>
  <c r="N2" i="6"/>
  <c r="O2" i="6"/>
  <c r="P2" i="6"/>
  <c r="B2" i="6"/>
  <c r="C3" i="12"/>
  <c r="N5" i="6" l="1"/>
  <c r="M5" i="6"/>
  <c r="R15" i="11" l="1"/>
  <c r="C14" i="11" l="1"/>
  <c r="C16" i="11" s="1"/>
  <c r="R11" i="11"/>
  <c r="E10" i="11"/>
  <c r="F10" i="11"/>
  <c r="G10" i="11"/>
  <c r="H10" i="11"/>
  <c r="H12" i="11" s="1"/>
  <c r="I10" i="11"/>
  <c r="J10" i="11"/>
  <c r="K10" i="11"/>
  <c r="L10" i="11"/>
  <c r="L12" i="11" s="1"/>
  <c r="M10" i="11"/>
  <c r="N10" i="11"/>
  <c r="O10" i="11"/>
  <c r="P10" i="11"/>
  <c r="P12" i="11" s="1"/>
  <c r="Q10" i="11"/>
  <c r="R10" i="11"/>
  <c r="D10" i="11"/>
  <c r="C9" i="11"/>
  <c r="M7" i="11"/>
  <c r="N7" i="11"/>
  <c r="O7" i="11"/>
  <c r="P7" i="11"/>
  <c r="Q7" i="11"/>
  <c r="R7" i="11"/>
  <c r="B7" i="11"/>
  <c r="M6" i="11"/>
  <c r="N6" i="11"/>
  <c r="O6" i="11"/>
  <c r="P6" i="11"/>
  <c r="Q6" i="11"/>
  <c r="R6" i="11"/>
  <c r="M5" i="11"/>
  <c r="N5" i="11"/>
  <c r="O5" i="11"/>
  <c r="P5" i="11"/>
  <c r="Q5" i="11"/>
  <c r="R5" i="11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D5" i="3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D4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D3" i="11"/>
  <c r="D2" i="13"/>
  <c r="E2" i="13"/>
  <c r="F2" i="13"/>
  <c r="G2" i="13"/>
  <c r="H2" i="13"/>
  <c r="I2" i="13"/>
  <c r="J2" i="13"/>
  <c r="K2" i="13"/>
  <c r="L2" i="13"/>
  <c r="M2" i="13"/>
  <c r="N2" i="13"/>
  <c r="O2" i="13"/>
  <c r="P2" i="13"/>
  <c r="Q2" i="13"/>
  <c r="C2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C8" i="13"/>
  <c r="C9" i="13"/>
  <c r="D9" i="13" s="1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Q9" i="13" s="1"/>
  <c r="C7" i="13"/>
  <c r="D7" i="13" s="1"/>
  <c r="E7" i="13" s="1"/>
  <c r="C5" i="13"/>
  <c r="D5" i="13" s="1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P5" i="13" s="1"/>
  <c r="Q5" i="13" s="1"/>
  <c r="C4" i="13"/>
  <c r="D4" i="13" s="1"/>
  <c r="D6" i="3"/>
  <c r="B3" i="12"/>
  <c r="E9" i="12" s="1"/>
  <c r="Q16" i="11"/>
  <c r="P16" i="11"/>
  <c r="O16" i="11"/>
  <c r="R16" i="11"/>
  <c r="R4" i="6" s="1"/>
  <c r="B16" i="11"/>
  <c r="B12" i="11"/>
  <c r="Q12" i="11"/>
  <c r="O12" i="11"/>
  <c r="N12" i="11"/>
  <c r="M12" i="11"/>
  <c r="K12" i="11"/>
  <c r="J12" i="11"/>
  <c r="I12" i="11"/>
  <c r="G12" i="11"/>
  <c r="F12" i="11"/>
  <c r="E12" i="11"/>
  <c r="D12" i="11"/>
  <c r="C12" i="11"/>
  <c r="B6" i="12" l="1"/>
  <c r="B17" i="12" s="1"/>
  <c r="R12" i="11"/>
  <c r="D3" i="13"/>
  <c r="E4" i="13"/>
  <c r="F7" i="13"/>
  <c r="C3" i="13"/>
  <c r="D10" i="12"/>
  <c r="B11" i="13" s="1"/>
  <c r="C6" i="11" s="1"/>
  <c r="C7" i="11" s="1"/>
  <c r="C2" i="6" s="1"/>
  <c r="C5" i="6" s="1"/>
  <c r="B10" i="12" l="1"/>
  <c r="B12" i="12"/>
  <c r="B19" i="12"/>
  <c r="B13" i="12"/>
  <c r="B15" i="12"/>
  <c r="B14" i="12"/>
  <c r="B18" i="12"/>
  <c r="B16" i="12"/>
  <c r="B11" i="12"/>
  <c r="C10" i="12"/>
  <c r="E10" i="12" s="1"/>
  <c r="D11" i="12" s="1"/>
  <c r="C11" i="13" s="1"/>
  <c r="D6" i="11" s="1"/>
  <c r="G7" i="13"/>
  <c r="D6" i="13"/>
  <c r="D10" i="13" s="1"/>
  <c r="E6" i="13"/>
  <c r="C6" i="13"/>
  <c r="C10" i="13" s="1"/>
  <c r="F6" i="13"/>
  <c r="F4" i="13"/>
  <c r="E3" i="13"/>
  <c r="D14" i="11" l="1"/>
  <c r="C11" i="12"/>
  <c r="E11" i="12" s="1"/>
  <c r="D12" i="12" s="1"/>
  <c r="E14" i="11"/>
  <c r="C12" i="13"/>
  <c r="C13" i="13" s="1"/>
  <c r="H7" i="13"/>
  <c r="G6" i="13"/>
  <c r="E10" i="13"/>
  <c r="G4" i="13"/>
  <c r="F3" i="13"/>
  <c r="C14" i="13" l="1"/>
  <c r="D5" i="11"/>
  <c r="D7" i="11" s="1"/>
  <c r="D2" i="6" s="1"/>
  <c r="D5" i="6" s="1"/>
  <c r="C12" i="12"/>
  <c r="D11" i="13"/>
  <c r="I7" i="13"/>
  <c r="H6" i="13"/>
  <c r="F10" i="13"/>
  <c r="H4" i="13"/>
  <c r="G3" i="13"/>
  <c r="E6" i="11" l="1"/>
  <c r="D12" i="13"/>
  <c r="D13" i="13" s="1"/>
  <c r="E12" i="12"/>
  <c r="D13" i="12" s="1"/>
  <c r="F14" i="11"/>
  <c r="G10" i="13"/>
  <c r="I4" i="13"/>
  <c r="H3" i="13"/>
  <c r="J7" i="13"/>
  <c r="I6" i="13"/>
  <c r="C13" i="12" l="1"/>
  <c r="E11" i="13"/>
  <c r="D14" i="13"/>
  <c r="E5" i="11"/>
  <c r="E7" i="11" s="1"/>
  <c r="E2" i="6" s="1"/>
  <c r="E5" i="6" s="1"/>
  <c r="H10" i="13"/>
  <c r="J4" i="13"/>
  <c r="I3" i="13"/>
  <c r="K7" i="13"/>
  <c r="J6" i="13"/>
  <c r="F6" i="11" l="1"/>
  <c r="E12" i="13"/>
  <c r="E13" i="13" s="1"/>
  <c r="E13" i="12"/>
  <c r="D14" i="12" s="1"/>
  <c r="G14" i="11"/>
  <c r="I10" i="13"/>
  <c r="L7" i="13"/>
  <c r="K6" i="13"/>
  <c r="K4" i="13"/>
  <c r="J3" i="13"/>
  <c r="C14" i="12" l="1"/>
  <c r="F11" i="13"/>
  <c r="E14" i="13"/>
  <c r="F5" i="11"/>
  <c r="F7" i="11" s="1"/>
  <c r="F2" i="6" s="1"/>
  <c r="F5" i="6" s="1"/>
  <c r="L4" i="13"/>
  <c r="K3" i="13"/>
  <c r="M7" i="13"/>
  <c r="L6" i="13"/>
  <c r="J10" i="13"/>
  <c r="G6" i="11" l="1"/>
  <c r="F12" i="13"/>
  <c r="F13" i="13" s="1"/>
  <c r="E14" i="12"/>
  <c r="D15" i="12" s="1"/>
  <c r="H14" i="11"/>
  <c r="N7" i="13"/>
  <c r="M6" i="13"/>
  <c r="K10" i="13"/>
  <c r="M4" i="13"/>
  <c r="L3" i="13"/>
  <c r="D16" i="11"/>
  <c r="C15" i="12" l="1"/>
  <c r="G11" i="13"/>
  <c r="F14" i="13"/>
  <c r="G5" i="11"/>
  <c r="G7" i="11" s="1"/>
  <c r="G2" i="6" s="1"/>
  <c r="G5" i="6" s="1"/>
  <c r="L10" i="13"/>
  <c r="L12" i="13" s="1"/>
  <c r="N4" i="13"/>
  <c r="M3" i="13"/>
  <c r="O7" i="13"/>
  <c r="N6" i="13"/>
  <c r="H6" i="11" l="1"/>
  <c r="G12" i="13"/>
  <c r="G13" i="13" s="1"/>
  <c r="E15" i="12"/>
  <c r="D16" i="12" s="1"/>
  <c r="I14" i="11"/>
  <c r="M10" i="13"/>
  <c r="M12" i="13" s="1"/>
  <c r="P7" i="13"/>
  <c r="O6" i="13"/>
  <c r="O4" i="13"/>
  <c r="N3" i="13"/>
  <c r="L13" i="13"/>
  <c r="L14" i="13" s="1"/>
  <c r="E16" i="11"/>
  <c r="C16" i="12" l="1"/>
  <c r="H11" i="13"/>
  <c r="G14" i="13"/>
  <c r="H5" i="11"/>
  <c r="H7" i="11" s="1"/>
  <c r="H2" i="6" s="1"/>
  <c r="H5" i="6" s="1"/>
  <c r="Q7" i="13"/>
  <c r="Q6" i="13" s="1"/>
  <c r="P6" i="13"/>
  <c r="N10" i="13"/>
  <c r="N12" i="13" s="1"/>
  <c r="M13" i="13"/>
  <c r="M14" i="13" s="1"/>
  <c r="P4" i="13"/>
  <c r="O3" i="13"/>
  <c r="F16" i="11"/>
  <c r="I6" i="11" l="1"/>
  <c r="H12" i="13"/>
  <c r="H13" i="13" s="1"/>
  <c r="E16" i="12"/>
  <c r="D17" i="12" s="1"/>
  <c r="J14" i="11"/>
  <c r="O10" i="13"/>
  <c r="O12" i="13" s="1"/>
  <c r="P3" i="13"/>
  <c r="Q4" i="13"/>
  <c r="Q3" i="13" s="1"/>
  <c r="N13" i="13"/>
  <c r="N14" i="13" s="1"/>
  <c r="G16" i="11"/>
  <c r="C17" i="12" l="1"/>
  <c r="I11" i="13"/>
  <c r="H14" i="13"/>
  <c r="I5" i="11"/>
  <c r="I7" i="11" s="1"/>
  <c r="I2" i="6" s="1"/>
  <c r="I5" i="6" s="1"/>
  <c r="O13" i="13"/>
  <c r="O14" i="13"/>
  <c r="Q10" i="13"/>
  <c r="Q12" i="13" s="1"/>
  <c r="P10" i="13"/>
  <c r="P12" i="13" s="1"/>
  <c r="H16" i="11"/>
  <c r="J6" i="11" l="1"/>
  <c r="I12" i="13"/>
  <c r="I13" i="13" s="1"/>
  <c r="E17" i="12"/>
  <c r="D18" i="12" s="1"/>
  <c r="K14" i="11"/>
  <c r="Q13" i="13"/>
  <c r="Q14" i="13" s="1"/>
  <c r="P13" i="13"/>
  <c r="P14" i="13"/>
  <c r="I16" i="11"/>
  <c r="C18" i="12" l="1"/>
  <c r="J11" i="13"/>
  <c r="I14" i="13"/>
  <c r="J5" i="11"/>
  <c r="J7" i="11" s="1"/>
  <c r="J2" i="6" s="1"/>
  <c r="J5" i="6" s="1"/>
  <c r="J16" i="11"/>
  <c r="K6" i="11" l="1"/>
  <c r="J12" i="13"/>
  <c r="J13" i="13" s="1"/>
  <c r="E18" i="12"/>
  <c r="D19" i="12" s="1"/>
  <c r="N14" i="11" s="1"/>
  <c r="N16" i="11" s="1"/>
  <c r="L14" i="11"/>
  <c r="K16" i="11"/>
  <c r="C19" i="12" l="1"/>
  <c r="K11" i="13"/>
  <c r="J14" i="13"/>
  <c r="K5" i="11"/>
  <c r="K7" i="11" s="1"/>
  <c r="K2" i="6" s="1"/>
  <c r="K5" i="6" s="1"/>
  <c r="L16" i="11"/>
  <c r="L6" i="11" l="1"/>
  <c r="K12" i="13"/>
  <c r="K13" i="13" s="1"/>
  <c r="E19" i="12"/>
  <c r="M14" i="11"/>
  <c r="M16" i="11" s="1"/>
  <c r="K14" i="13" l="1"/>
  <c r="L5" i="11"/>
  <c r="L7" i="11" s="1"/>
  <c r="L2" i="6" s="1"/>
  <c r="L5" i="6" s="1"/>
  <c r="B5" i="2"/>
  <c r="B4" i="2"/>
  <c r="P7" i="2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C7" i="2"/>
  <c r="B7" i="2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B9" i="2" l="1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D4" i="3"/>
  <c r="C24" i="2" l="1"/>
  <c r="C25" i="2"/>
  <c r="C26" i="2"/>
  <c r="C23" i="2"/>
  <c r="C20" i="2"/>
  <c r="C21" i="2"/>
  <c r="C22" i="2"/>
  <c r="C19" i="2"/>
  <c r="I4" i="4"/>
  <c r="Q4" i="4"/>
  <c r="C2" i="4"/>
  <c r="B2" i="4"/>
  <c r="K20" i="3"/>
  <c r="K4" i="4" s="1"/>
  <c r="L20" i="3"/>
  <c r="L4" i="4" s="1"/>
  <c r="M20" i="3"/>
  <c r="M4" i="4" s="1"/>
  <c r="N20" i="3"/>
  <c r="N4" i="4" s="1"/>
  <c r="O20" i="3"/>
  <c r="O4" i="4" s="1"/>
  <c r="P20" i="3"/>
  <c r="P4" i="4" s="1"/>
  <c r="Q20" i="3"/>
  <c r="I20" i="3"/>
  <c r="H20" i="3"/>
  <c r="H4" i="4" s="1"/>
  <c r="G20" i="3"/>
  <c r="G4" i="4" s="1"/>
  <c r="F20" i="3"/>
  <c r="F4" i="4" s="1"/>
  <c r="E20" i="3"/>
  <c r="E4" i="4" s="1"/>
  <c r="D20" i="3"/>
  <c r="D4" i="4" s="1"/>
  <c r="J20" i="3"/>
  <c r="J4" i="4" s="1"/>
  <c r="B16" i="3"/>
  <c r="B3" i="4" s="1"/>
  <c r="D26" i="2" l="1"/>
  <c r="D27" i="2"/>
  <c r="D19" i="2"/>
  <c r="D25" i="2"/>
  <c r="C29" i="2"/>
  <c r="D29" i="2" s="1"/>
  <c r="C28" i="2"/>
  <c r="D28" i="2" s="1"/>
  <c r="D21" i="2"/>
  <c r="D22" i="2"/>
  <c r="D23" i="2"/>
  <c r="D24" i="2"/>
  <c r="C27" i="2"/>
  <c r="C30" i="2"/>
  <c r="D30" i="2" s="1"/>
  <c r="B31" i="2"/>
  <c r="C25" i="1"/>
  <c r="C31" i="2" l="1"/>
  <c r="C18" i="3"/>
  <c r="C20" i="3" s="1"/>
  <c r="C4" i="4" s="1"/>
  <c r="B18" i="3"/>
  <c r="B20" i="3" s="1"/>
  <c r="B4" i="4" s="1"/>
  <c r="D20" i="2"/>
  <c r="D31" i="2" s="1"/>
  <c r="C3" i="2"/>
  <c r="D36" i="2" s="1"/>
  <c r="B3" i="2"/>
  <c r="C36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B11" i="1"/>
  <c r="D11" i="1" s="1"/>
  <c r="B5" i="4" l="1"/>
  <c r="B7" i="4" s="1"/>
  <c r="B5" i="6"/>
  <c r="B7" i="6" s="1"/>
  <c r="D37" i="2"/>
  <c r="E14" i="3" s="1"/>
  <c r="D33" i="2"/>
  <c r="D3" i="2"/>
  <c r="E36" i="2" s="1"/>
  <c r="E37" i="2" s="1"/>
  <c r="B34" i="1"/>
  <c r="B31" i="1"/>
  <c r="D27" i="1"/>
  <c r="D21" i="1"/>
  <c r="D22" i="1"/>
  <c r="D17" i="1"/>
  <c r="F14" i="3" l="1"/>
  <c r="C8" i="2"/>
  <c r="C6" i="2"/>
  <c r="C10" i="2" s="1"/>
  <c r="E9" i="3"/>
  <c r="E8" i="2"/>
  <c r="R19" i="3"/>
  <c r="R20" i="3" s="1"/>
  <c r="R4" i="4" s="1"/>
  <c r="D8" i="2"/>
  <c r="F8" i="2"/>
  <c r="G8" i="2"/>
  <c r="B8" i="2"/>
  <c r="P8" i="2"/>
  <c r="M8" i="2"/>
  <c r="H8" i="2"/>
  <c r="N8" i="2"/>
  <c r="L8" i="2"/>
  <c r="I8" i="2"/>
  <c r="K8" i="2"/>
  <c r="J8" i="2"/>
  <c r="O8" i="2"/>
  <c r="E3" i="2"/>
  <c r="F36" i="2" s="1"/>
  <c r="B38" i="1"/>
  <c r="C26" i="1"/>
  <c r="B26" i="1"/>
  <c r="B25" i="1"/>
  <c r="C23" i="1"/>
  <c r="C18" i="1"/>
  <c r="D18" i="1" s="1"/>
  <c r="D12" i="1"/>
  <c r="D13" i="1"/>
  <c r="D8" i="1"/>
  <c r="D7" i="1"/>
  <c r="B23" i="1"/>
  <c r="B20" i="1" s="1"/>
  <c r="B19" i="1"/>
  <c r="D19" i="1" s="1"/>
  <c r="C9" i="1"/>
  <c r="B3" i="1"/>
  <c r="B9" i="1"/>
  <c r="B40" i="1" l="1"/>
  <c r="B41" i="1" s="1"/>
  <c r="E3" i="3"/>
  <c r="I3" i="3"/>
  <c r="M3" i="3"/>
  <c r="Q3" i="3"/>
  <c r="F3" i="3"/>
  <c r="N3" i="3"/>
  <c r="R3" i="3"/>
  <c r="D3" i="3"/>
  <c r="G3" i="3"/>
  <c r="O3" i="3"/>
  <c r="L3" i="3"/>
  <c r="J3" i="3"/>
  <c r="K3" i="3"/>
  <c r="H3" i="3"/>
  <c r="P3" i="3"/>
  <c r="D6" i="6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F37" i="2"/>
  <c r="G14" i="3" s="1"/>
  <c r="M9" i="3"/>
  <c r="J9" i="3"/>
  <c r="K9" i="3"/>
  <c r="O9" i="3"/>
  <c r="I9" i="3"/>
  <c r="G9" i="3"/>
  <c r="Q9" i="3"/>
  <c r="N9" i="3"/>
  <c r="R9" i="3"/>
  <c r="H9" i="3"/>
  <c r="L9" i="3"/>
  <c r="P9" i="3"/>
  <c r="E16" i="3"/>
  <c r="E3" i="4" s="1"/>
  <c r="E8" i="3"/>
  <c r="C12" i="2"/>
  <c r="C13" i="2" s="1"/>
  <c r="E10" i="3" s="1"/>
  <c r="B6" i="2"/>
  <c r="B10" i="2" s="1"/>
  <c r="D9" i="3"/>
  <c r="E6" i="2"/>
  <c r="E10" i="2" s="1"/>
  <c r="D6" i="2"/>
  <c r="D10" i="2" s="1"/>
  <c r="F9" i="3"/>
  <c r="F6" i="2"/>
  <c r="F3" i="2"/>
  <c r="G36" i="2" s="1"/>
  <c r="G37" i="2" s="1"/>
  <c r="B24" i="1"/>
  <c r="C15" i="1"/>
  <c r="D23" i="1"/>
  <c r="C24" i="1"/>
  <c r="B15" i="1"/>
  <c r="B14" i="1" s="1"/>
  <c r="C20" i="1"/>
  <c r="D20" i="1" s="1"/>
  <c r="B42" i="1"/>
  <c r="D5" i="1"/>
  <c r="D6" i="1"/>
  <c r="D10" i="1"/>
  <c r="D16" i="1"/>
  <c r="D25" i="1"/>
  <c r="D26" i="1"/>
  <c r="K6" i="4" l="1"/>
  <c r="E6" i="4"/>
  <c r="I6" i="4"/>
  <c r="M6" i="4"/>
  <c r="Q6" i="4"/>
  <c r="J6" i="4"/>
  <c r="N6" i="4"/>
  <c r="R6" i="4"/>
  <c r="G6" i="4"/>
  <c r="H6" i="4"/>
  <c r="P6" i="4"/>
  <c r="F6" i="4"/>
  <c r="O6" i="4"/>
  <c r="L6" i="4"/>
  <c r="D6" i="4"/>
  <c r="H14" i="3"/>
  <c r="E11" i="3"/>
  <c r="E2" i="4" s="1"/>
  <c r="D12" i="2"/>
  <c r="D13" i="2" s="1"/>
  <c r="F10" i="3" s="1"/>
  <c r="D8" i="3"/>
  <c r="G8" i="3"/>
  <c r="B12" i="2"/>
  <c r="B13" i="2" s="1"/>
  <c r="D10" i="3" s="1"/>
  <c r="F16" i="3"/>
  <c r="F3" i="4" s="1"/>
  <c r="E12" i="2"/>
  <c r="E13" i="2" s="1"/>
  <c r="G10" i="3" s="1"/>
  <c r="F8" i="3"/>
  <c r="C14" i="2"/>
  <c r="G6" i="2"/>
  <c r="F10" i="2"/>
  <c r="G3" i="2"/>
  <c r="H36" i="2" s="1"/>
  <c r="H37" i="2" s="1"/>
  <c r="B43" i="1"/>
  <c r="D24" i="1"/>
  <c r="C14" i="1"/>
  <c r="C28" i="1" s="1"/>
  <c r="D15" i="1"/>
  <c r="D9" i="1"/>
  <c r="B2" i="1"/>
  <c r="B28" i="1"/>
  <c r="E5" i="4" l="1"/>
  <c r="D11" i="3"/>
  <c r="D2" i="4" s="1"/>
  <c r="E7" i="4"/>
  <c r="I14" i="3"/>
  <c r="G16" i="3"/>
  <c r="G3" i="4" s="1"/>
  <c r="F12" i="2"/>
  <c r="F13" i="2" s="1"/>
  <c r="H10" i="3" s="1"/>
  <c r="F11" i="3"/>
  <c r="F2" i="4" s="1"/>
  <c r="G11" i="3"/>
  <c r="G2" i="4" s="1"/>
  <c r="E14" i="2"/>
  <c r="B14" i="2"/>
  <c r="D14" i="2"/>
  <c r="H8" i="3"/>
  <c r="G10" i="2"/>
  <c r="H6" i="2"/>
  <c r="H3" i="2"/>
  <c r="I36" i="2" s="1"/>
  <c r="I37" i="2" s="1"/>
  <c r="B44" i="1"/>
  <c r="D14" i="1"/>
  <c r="D28" i="1"/>
  <c r="F5" i="4" l="1"/>
  <c r="F7" i="4" s="1"/>
  <c r="J14" i="3"/>
  <c r="G5" i="4"/>
  <c r="G7" i="4" s="1"/>
  <c r="F14" i="2"/>
  <c r="I8" i="3"/>
  <c r="G12" i="2"/>
  <c r="G13" i="2" s="1"/>
  <c r="I10" i="3" s="1"/>
  <c r="H11" i="3"/>
  <c r="H2" i="4" s="1"/>
  <c r="H16" i="3"/>
  <c r="H3" i="4" s="1"/>
  <c r="H10" i="2"/>
  <c r="I6" i="2"/>
  <c r="I3" i="2"/>
  <c r="J36" i="2" s="1"/>
  <c r="J37" i="2" s="1"/>
  <c r="C3" i="1"/>
  <c r="B46" i="1" s="1"/>
  <c r="B36" i="2" s="1"/>
  <c r="D4" i="1"/>
  <c r="B37" i="2" l="1"/>
  <c r="C37" i="2"/>
  <c r="K14" i="3"/>
  <c r="I16" i="3"/>
  <c r="I3" i="4" s="1"/>
  <c r="H5" i="4"/>
  <c r="H7" i="4" s="1"/>
  <c r="I11" i="3"/>
  <c r="I2" i="4" s="1"/>
  <c r="J8" i="3"/>
  <c r="H12" i="2"/>
  <c r="H13" i="2" s="1"/>
  <c r="J10" i="3" s="1"/>
  <c r="G14" i="2"/>
  <c r="J6" i="2"/>
  <c r="I10" i="2"/>
  <c r="J3" i="2"/>
  <c r="K36" i="2" s="1"/>
  <c r="K37" i="2" s="1"/>
  <c r="C2" i="1"/>
  <c r="D3" i="1"/>
  <c r="D14" i="3" l="1"/>
  <c r="D16" i="3" s="1"/>
  <c r="D3" i="4" s="1"/>
  <c r="C13" i="3"/>
  <c r="C16" i="3" s="1"/>
  <c r="C3" i="4" s="1"/>
  <c r="L14" i="3"/>
  <c r="I5" i="4"/>
  <c r="I7" i="4" s="1"/>
  <c r="I12" i="2"/>
  <c r="I13" i="2" s="1"/>
  <c r="K10" i="3" s="1"/>
  <c r="J11" i="3"/>
  <c r="J2" i="4" s="1"/>
  <c r="J16" i="3"/>
  <c r="J3" i="4" s="1"/>
  <c r="H14" i="2"/>
  <c r="J10" i="2"/>
  <c r="K8" i="3"/>
  <c r="K6" i="2"/>
  <c r="K3" i="2"/>
  <c r="L36" i="2" s="1"/>
  <c r="L37" i="2" s="1"/>
  <c r="D2" i="1"/>
  <c r="C5" i="4" l="1"/>
  <c r="C7" i="4" s="1"/>
  <c r="C7" i="6"/>
  <c r="D5" i="4"/>
  <c r="D7" i="4" s="1"/>
  <c r="D7" i="6"/>
  <c r="J5" i="4"/>
  <c r="J7" i="4" s="1"/>
  <c r="M14" i="3"/>
  <c r="E7" i="6"/>
  <c r="K11" i="3"/>
  <c r="K2" i="4" s="1"/>
  <c r="J12" i="2"/>
  <c r="J13" i="2" s="1"/>
  <c r="L10" i="3" s="1"/>
  <c r="I14" i="2"/>
  <c r="K16" i="3"/>
  <c r="K3" i="4" s="1"/>
  <c r="L6" i="2"/>
  <c r="K10" i="2"/>
  <c r="L8" i="3"/>
  <c r="L3" i="2"/>
  <c r="M36" i="2" s="1"/>
  <c r="M37" i="2" s="1"/>
  <c r="N14" i="3" l="1"/>
  <c r="L16" i="3"/>
  <c r="L3" i="4" s="1"/>
  <c r="K5" i="4"/>
  <c r="K7" i="4" s="1"/>
  <c r="L11" i="3"/>
  <c r="L2" i="4" s="1"/>
  <c r="J14" i="2"/>
  <c r="K12" i="2"/>
  <c r="K13" i="2" s="1"/>
  <c r="M10" i="3" s="1"/>
  <c r="M8" i="3"/>
  <c r="L10" i="2"/>
  <c r="M6" i="2"/>
  <c r="M3" i="2"/>
  <c r="N36" i="2" s="1"/>
  <c r="N37" i="2" s="1"/>
  <c r="O14" i="3" l="1"/>
  <c r="M11" i="3"/>
  <c r="M2" i="4" s="1"/>
  <c r="N8" i="3"/>
  <c r="L5" i="4"/>
  <c r="L7" i="4" s="1"/>
  <c r="L12" i="2"/>
  <c r="L13" i="2" s="1"/>
  <c r="N10" i="3" s="1"/>
  <c r="M16" i="3"/>
  <c r="M3" i="4" s="1"/>
  <c r="K14" i="2"/>
  <c r="N6" i="2"/>
  <c r="M10" i="2"/>
  <c r="N3" i="2"/>
  <c r="O36" i="2" s="1"/>
  <c r="O37" i="2" s="1"/>
  <c r="P14" i="3" l="1"/>
  <c r="F7" i="6"/>
  <c r="M12" i="2"/>
  <c r="M13" i="2" s="1"/>
  <c r="O10" i="3" s="1"/>
  <c r="N11" i="3"/>
  <c r="N2" i="4" s="1"/>
  <c r="M5" i="4"/>
  <c r="M7" i="4" s="1"/>
  <c r="N16" i="3"/>
  <c r="N3" i="4" s="1"/>
  <c r="L14" i="2"/>
  <c r="N10" i="2"/>
  <c r="O8" i="3"/>
  <c r="P6" i="2"/>
  <c r="O6" i="2"/>
  <c r="P3" i="2"/>
  <c r="Q36" i="2" s="1"/>
  <c r="O3" i="2"/>
  <c r="P36" i="2" s="1"/>
  <c r="P37" i="2" s="1"/>
  <c r="Q37" i="2" l="1"/>
  <c r="R14" i="3" s="1"/>
  <c r="Q14" i="3"/>
  <c r="R15" i="3"/>
  <c r="M14" i="2"/>
  <c r="O16" i="3"/>
  <c r="O3" i="4" s="1"/>
  <c r="N7" i="6"/>
  <c r="N5" i="4"/>
  <c r="N7" i="4" s="1"/>
  <c r="N12" i="2"/>
  <c r="N13" i="2" s="1"/>
  <c r="P10" i="3" s="1"/>
  <c r="O11" i="3"/>
  <c r="O2" i="4" s="1"/>
  <c r="O10" i="2"/>
  <c r="P8" i="3"/>
  <c r="P10" i="2"/>
  <c r="N14" i="2" l="1"/>
  <c r="O5" i="6"/>
  <c r="O7" i="6" s="1"/>
  <c r="O5" i="4"/>
  <c r="O7" i="4" s="1"/>
  <c r="O12" i="2"/>
  <c r="O13" i="2" s="1"/>
  <c r="Q10" i="3" s="1"/>
  <c r="R8" i="3"/>
  <c r="P11" i="3"/>
  <c r="P2" i="4" s="1"/>
  <c r="P12" i="2"/>
  <c r="P13" i="2" s="1"/>
  <c r="R10" i="3" s="1"/>
  <c r="P16" i="3"/>
  <c r="P3" i="4" s="1"/>
  <c r="Q8" i="3"/>
  <c r="P5" i="6" l="1"/>
  <c r="P7" i="6" s="1"/>
  <c r="G7" i="6"/>
  <c r="P5" i="4"/>
  <c r="P7" i="4" s="1"/>
  <c r="Q11" i="3"/>
  <c r="Q2" i="4" s="1"/>
  <c r="R11" i="3"/>
  <c r="R2" i="4" s="1"/>
  <c r="Q16" i="3"/>
  <c r="Q3" i="4" s="1"/>
  <c r="O14" i="2"/>
  <c r="P14" i="2"/>
  <c r="Q5" i="6" l="1"/>
  <c r="Q7" i="6" s="1"/>
  <c r="Q5" i="4"/>
  <c r="Q7" i="4" s="1"/>
  <c r="R16" i="3"/>
  <c r="R3" i="4" s="1"/>
  <c r="R5" i="4" l="1"/>
  <c r="R7" i="4" s="1"/>
  <c r="R5" i="6"/>
  <c r="R7" i="6" s="1"/>
  <c r="B11" i="4"/>
  <c r="B12" i="4"/>
  <c r="H7" i="6" l="1"/>
  <c r="I7" i="6" l="1"/>
  <c r="J7" i="6" l="1"/>
  <c r="K7" i="6" l="1"/>
  <c r="L7" i="6" l="1"/>
  <c r="M7" i="6" l="1"/>
  <c r="B11" i="6" s="1"/>
  <c r="B12" i="6" l="1"/>
</calcChain>
</file>

<file path=xl/sharedStrings.xml><?xml version="1.0" encoding="utf-8"?>
<sst xmlns="http://schemas.openxmlformats.org/spreadsheetml/2006/main" count="237" uniqueCount="125">
  <si>
    <t>Cambio</t>
  </si>
  <si>
    <t>Activos Circulantes</t>
  </si>
  <si>
    <t xml:space="preserve"> - Efectivo</t>
  </si>
  <si>
    <t xml:space="preserve"> - Inventario</t>
  </si>
  <si>
    <t>Activos Fijos</t>
  </si>
  <si>
    <t xml:space="preserve"> - Planta y Equipo</t>
  </si>
  <si>
    <t>Pasivos Circulantes</t>
  </si>
  <si>
    <t>Deuda de Largo Plazo</t>
  </si>
  <si>
    <t>Pasivos y Capital Totales</t>
  </si>
  <si>
    <t>Total Activos</t>
  </si>
  <si>
    <t>Total Pasivos</t>
  </si>
  <si>
    <t>Depreciación</t>
  </si>
  <si>
    <t>Utilidades antes de intereses e impuestos</t>
  </si>
  <si>
    <t>Intereses</t>
  </si>
  <si>
    <t>Utilidad gravable</t>
  </si>
  <si>
    <t>Impuestos</t>
  </si>
  <si>
    <t>Utilidad Neta</t>
  </si>
  <si>
    <t>Estado de Resultados</t>
  </si>
  <si>
    <t>Balance General</t>
  </si>
  <si>
    <t xml:space="preserve"> - Inversiones de corto plazo</t>
  </si>
  <si>
    <t>Capital de los Socios</t>
  </si>
  <si>
    <t xml:space="preserve"> - Reserva legal</t>
  </si>
  <si>
    <t xml:space="preserve"> - Deudas comerciales</t>
  </si>
  <si>
    <t xml:space="preserve"> - Deudas fiscales y sociales</t>
  </si>
  <si>
    <t xml:space="preserve"> - Deudas al personal</t>
  </si>
  <si>
    <t xml:space="preserve"> - Cuentas por cobrar comerciales</t>
  </si>
  <si>
    <t xml:space="preserve"> - Gastos pagados por anticipado</t>
  </si>
  <si>
    <t xml:space="preserve"> - Gastos diferidos</t>
  </si>
  <si>
    <t xml:space="preserve"> - Deudas financieras</t>
  </si>
  <si>
    <t xml:space="preserve"> - Previsión para indemnización personal</t>
  </si>
  <si>
    <t xml:space="preserve"> - Fondo societario</t>
  </si>
  <si>
    <t xml:space="preserve"> - Otros activos fijos</t>
  </si>
  <si>
    <t xml:space="preserve"> - Inversiones permanentes</t>
  </si>
  <si>
    <t>Ingresos por venta de servicios</t>
  </si>
  <si>
    <t>Servicios de agua potable</t>
  </si>
  <si>
    <t>Servicios de alcantarillado</t>
  </si>
  <si>
    <t>Costo de explotación</t>
  </si>
  <si>
    <t>Costos para la provisión</t>
  </si>
  <si>
    <t xml:space="preserve">  - Reserva legal</t>
  </si>
  <si>
    <t>Costo de administración</t>
  </si>
  <si>
    <t xml:space="preserve"> - Fondo de excedentes</t>
  </si>
  <si>
    <t xml:space="preserve">  - Adición a fondo de excedentes</t>
  </si>
  <si>
    <t>Inversiones</t>
  </si>
  <si>
    <t>Disponibilidad de nuevas fuentes subterráneas</t>
  </si>
  <si>
    <t>Instalación de sistemas de aducción</t>
  </si>
  <si>
    <t>Construcción sistemas de almacenamiento</t>
  </si>
  <si>
    <t>Ampliación y reposición de red matriz de agua</t>
  </si>
  <si>
    <t>Sectorización de redes</t>
  </si>
  <si>
    <t>Ampliación y reposición de red de alcantarillado</t>
  </si>
  <si>
    <t>Ampliación planta de tratamiento de aguas residuales</t>
  </si>
  <si>
    <t>Ampliación planta de tratamiento de agua</t>
  </si>
  <si>
    <t>Sistema de registro y comercialización de servicios</t>
  </si>
  <si>
    <t>Programa de fortalecimiento institucional</t>
  </si>
  <si>
    <t>Programa de desarrollo comunitario</t>
  </si>
  <si>
    <t>Total</t>
  </si>
  <si>
    <t>Sistema de contabilidad para cooperativas de servicios</t>
  </si>
  <si>
    <t>Capital de Trabajo neto</t>
  </si>
  <si>
    <t>Valor Residual</t>
  </si>
  <si>
    <t>Flujo Efectivo Capital Trabajo Neto</t>
  </si>
  <si>
    <t>Año 0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</si>
  <si>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</si>
  <si>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</si>
  <si>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</si>
  <si>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</si>
  <si>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</si>
  <si>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</si>
  <si>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</si>
  <si>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</si>
  <si>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I. Flujo de Efectivo Operativo</t>
  </si>
  <si>
    <t>Flujo de Efectivo Operarivo</t>
  </si>
  <si>
    <t>II. Capital de Trabajo Neto</t>
  </si>
  <si>
    <t>CTN Inicial</t>
  </si>
  <si>
    <t>Cambio en CTN</t>
  </si>
  <si>
    <t>Recuperación CTN</t>
  </si>
  <si>
    <t>Flujo de Efectivo CTN</t>
  </si>
  <si>
    <t>III. Gastos de Capital</t>
  </si>
  <si>
    <t>Desembolso Inicial</t>
  </si>
  <si>
    <t>Valor de Rescate Después de Impuestos</t>
  </si>
  <si>
    <t>Flujo de Efectivo Gastos Capital</t>
  </si>
  <si>
    <t>Año 9</t>
  </si>
  <si>
    <t>Año 10</t>
  </si>
  <si>
    <t>Año 11</t>
  </si>
  <si>
    <t>Año 12</t>
  </si>
  <si>
    <t>Año 13</t>
  </si>
  <si>
    <t>Año 14</t>
  </si>
  <si>
    <t>Año 15</t>
  </si>
  <si>
    <t>Año -1</t>
  </si>
  <si>
    <t>TIR</t>
  </si>
  <si>
    <t>VPN (12,67%)</t>
  </si>
  <si>
    <t>Flujo Efectivo Sin Proyecto</t>
  </si>
  <si>
    <t>Flujo de Efectivo Con Proyecto</t>
  </si>
  <si>
    <t>Flujo Efectivo Incremental</t>
  </si>
  <si>
    <t>Parámetros</t>
  </si>
  <si>
    <t>Préstamo</t>
  </si>
  <si>
    <t>Tasa anual</t>
  </si>
  <si>
    <t>EA</t>
  </si>
  <si>
    <t># de periodos para pagar el préstamo</t>
  </si>
  <si>
    <t>años</t>
  </si>
  <si>
    <t>Cuota</t>
  </si>
  <si>
    <t>Periodo</t>
  </si>
  <si>
    <t>Abono a capital</t>
  </si>
  <si>
    <t>interés</t>
  </si>
  <si>
    <t>saldo</t>
  </si>
  <si>
    <t>Variación en el Capital de Trabajo</t>
  </si>
  <si>
    <t>UAII</t>
  </si>
  <si>
    <r>
      <t xml:space="preserve">I. Flujo de Efectivo Operativo </t>
    </r>
    <r>
      <rPr>
        <b/>
        <u/>
        <sz val="12"/>
        <color theme="1"/>
        <rFont val="CenturyGothic"/>
      </rPr>
      <t>SIN Proy</t>
    </r>
  </si>
  <si>
    <r>
      <t xml:space="preserve">I. Flujo de Efectivo Operativo </t>
    </r>
    <r>
      <rPr>
        <b/>
        <u/>
        <sz val="12"/>
        <color theme="1"/>
        <rFont val="CenturyGothic"/>
      </rPr>
      <t>CON Proy</t>
    </r>
  </si>
  <si>
    <t>Año 2020</t>
  </si>
  <si>
    <t>Año 2021</t>
  </si>
  <si>
    <t>Año 2022</t>
  </si>
  <si>
    <t>Año 2023</t>
  </si>
  <si>
    <t>Año 2024</t>
  </si>
  <si>
    <t>Año 2025</t>
  </si>
  <si>
    <t>Año 2026</t>
  </si>
  <si>
    <t>Año 2027</t>
  </si>
  <si>
    <t>Año 2028</t>
  </si>
  <si>
    <t>Año 2029</t>
  </si>
  <si>
    <t>Año 2030</t>
  </si>
  <si>
    <t>Año 2031</t>
  </si>
  <si>
    <t>Año 2032</t>
  </si>
  <si>
    <t>Año 2033</t>
  </si>
  <si>
    <t>Año 2034</t>
  </si>
  <si>
    <t>Año 2018</t>
  </si>
  <si>
    <t>Año 2019</t>
  </si>
  <si>
    <t>Tasa de Interés Préstamo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</si>
</sst>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.0;[Red]\-#,##0.0"/>
    <numFmt numFmtId="166" formatCode="#,##0.00_ ;[Red]\-#,##0.00\ "/>
    <numFmt numFmtId="167" formatCode="#,##0_ ;[Red]\-#,##0\ "/>
    <numFmt numFmtId="168" formatCode="0.0000%"/>
    <numFmt numFmtId="169" formatCode="&quot;$&quot;\ #,##0.00_);[Red]\(&quot;$&quot;\ #,##0.00\)"/>
    <numFmt numFmtId="170" formatCode="0.00_ ;[Red]\-0.00\ 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enturyGothic"/>
      <family val="2"/>
    </font>
    <font>
      <sz val="12"/>
      <color theme="1"/>
      <name val="CenturyGothic"/>
      <family val="2"/>
    </font>
    <font>
      <b/>
      <u/>
      <sz val="12"/>
      <color theme="1"/>
      <name val="CenturyGothic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0" fontId="0" fillId="0" borderId="0" xfId="0" applyNumberFormat="1"/>
    <xf numFmtId="40" fontId="5" fillId="0" borderId="1" xfId="1" applyNumberFormat="1" applyFont="1" applyBorder="1"/>
    <xf numFmtId="40" fontId="0" fillId="0" borderId="1" xfId="1" applyNumberFormat="1" applyFont="1" applyBorder="1"/>
    <xf numFmtId="40" fontId="1" fillId="0" borderId="1" xfId="1" applyNumberFormat="1" applyFont="1" applyBorder="1"/>
    <xf numFmtId="165" fontId="5" fillId="0" borderId="0" xfId="0" applyNumberFormat="1" applyFont="1"/>
    <xf numFmtId="165" fontId="0" fillId="0" borderId="0" xfId="0" applyNumberFormat="1"/>
    <xf numFmtId="165" fontId="5" fillId="0" borderId="1" xfId="0" applyNumberFormat="1" applyFont="1" applyBorder="1"/>
    <xf numFmtId="165" fontId="5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5" fontId="0" fillId="0" borderId="1" xfId="0" applyNumberFormat="1" applyFont="1" applyBorder="1"/>
    <xf numFmtId="165" fontId="1" fillId="0" borderId="1" xfId="1" applyNumberFormat="1" applyFont="1" applyBorder="1"/>
    <xf numFmtId="165" fontId="5" fillId="0" borderId="1" xfId="0" applyNumberFormat="1" applyFont="1" applyBorder="1" applyAlignment="1">
      <alignment horizontal="center"/>
    </xf>
    <xf numFmtId="165" fontId="0" fillId="0" borderId="0" xfId="0" applyNumberFormat="1" applyFill="1" applyBorder="1"/>
    <xf numFmtId="40" fontId="0" fillId="0" borderId="0" xfId="0" applyNumberFormat="1" applyFill="1" applyBorder="1"/>
    <xf numFmtId="165" fontId="5" fillId="0" borderId="0" xfId="0" applyNumberFormat="1" applyFont="1" applyFill="1" applyBorder="1"/>
    <xf numFmtId="40" fontId="5" fillId="0" borderId="0" xfId="0" applyNumberFormat="1" applyFont="1" applyFill="1" applyBorder="1"/>
    <xf numFmtId="165" fontId="4" fillId="0" borderId="0" xfId="0" applyNumberFormat="1" applyFont="1" applyFill="1" applyBorder="1"/>
    <xf numFmtId="40" fontId="0" fillId="0" borderId="0" xfId="0" applyNumberFormat="1" applyFont="1" applyFill="1" applyBorder="1"/>
    <xf numFmtId="38" fontId="5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0" xfId="0" applyNumberFormat="1" applyFont="1" applyAlignment="1">
      <alignment horizontal="right"/>
    </xf>
    <xf numFmtId="164" fontId="0" fillId="0" borderId="0" xfId="1" applyNumberFormat="1" applyFont="1"/>
    <xf numFmtId="40" fontId="0" fillId="0" borderId="0" xfId="1" applyNumberFormat="1" applyFont="1"/>
    <xf numFmtId="40" fontId="5" fillId="0" borderId="1" xfId="1" applyNumberFormat="1" applyFont="1" applyBorder="1" applyAlignment="1">
      <alignment horizontal="center"/>
    </xf>
    <xf numFmtId="40" fontId="0" fillId="0" borderId="0" xfId="1" applyNumberFormat="1" applyFont="1" applyAlignment="1">
      <alignment horizontal="right"/>
    </xf>
    <xf numFmtId="40" fontId="5" fillId="0" borderId="0" xfId="1" applyNumberFormat="1" applyFont="1" applyAlignment="1">
      <alignment horizontal="right"/>
    </xf>
    <xf numFmtId="40" fontId="5" fillId="0" borderId="0" xfId="1" applyNumberFormat="1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40" fontId="6" fillId="0" borderId="0" xfId="0" applyNumberFormat="1" applyFont="1"/>
    <xf numFmtId="40" fontId="6" fillId="0" borderId="0" xfId="1" applyNumberFormat="1" applyFont="1"/>
    <xf numFmtId="40" fontId="0" fillId="2" borderId="0" xfId="0" applyNumberFormat="1" applyFill="1"/>
    <xf numFmtId="40" fontId="0" fillId="2" borderId="0" xfId="1" applyNumberFormat="1" applyFont="1" applyFill="1"/>
    <xf numFmtId="167" fontId="6" fillId="0" borderId="0" xfId="0" applyNumberFormat="1" applyFont="1" applyAlignment="1">
      <alignment horizontal="right"/>
    </xf>
    <xf numFmtId="43" fontId="6" fillId="0" borderId="0" xfId="1" applyFont="1"/>
    <xf numFmtId="166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68" fontId="5" fillId="0" borderId="0" xfId="26" applyNumberFormat="1" applyFont="1"/>
    <xf numFmtId="16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0" fillId="0" borderId="1" xfId="0" applyNumberFormat="1" applyBorder="1"/>
    <xf numFmtId="170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Font="1" applyBorder="1"/>
    <xf numFmtId="166" fontId="7" fillId="0" borderId="1" xfId="1" applyNumberFormat="1" applyFont="1" applyBorder="1"/>
    <xf numFmtId="167" fontId="6" fillId="2" borderId="1" xfId="0" applyNumberFormat="1" applyFont="1" applyFill="1" applyBorder="1"/>
    <xf numFmtId="166" fontId="6" fillId="2" borderId="1" xfId="0" applyNumberFormat="1" applyFont="1" applyFill="1" applyBorder="1"/>
    <xf numFmtId="38" fontId="5" fillId="0" borderId="1" xfId="1" applyNumberFormat="1" applyFont="1" applyBorder="1" applyAlignment="1">
      <alignment horizontal="center"/>
    </xf>
    <xf numFmtId="38" fontId="0" fillId="0" borderId="0" xfId="1" applyNumberFormat="1" applyFont="1"/>
    <xf numFmtId="38" fontId="0" fillId="0" borderId="0" xfId="1" applyNumberFormat="1" applyFont="1" applyAlignment="1">
      <alignment horizontal="left" indent="4"/>
    </xf>
    <xf numFmtId="164" fontId="0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>
      <alignment horizontal="right"/>
    </xf>
    <xf numFmtId="10" fontId="0" fillId="0" borderId="0" xfId="26" applyNumberFormat="1" applyFont="1"/>
    <xf numFmtId="169" fontId="6" fillId="2" borderId="1" xfId="0" applyNumberFormat="1" applyFont="1" applyFill="1" applyBorder="1"/>
    <xf numFmtId="10" fontId="6" fillId="2" borderId="1" xfId="26" applyNumberFormat="1" applyFont="1" applyFill="1" applyBorder="1"/>
    <xf numFmtId="167" fontId="6" fillId="2" borderId="1" xfId="0" applyNumberFormat="1" applyFont="1" applyFill="1" applyBorder="1" applyAlignment="1">
      <alignment horizontal="right"/>
    </xf>
    <xf numFmtId="43" fontId="0" fillId="0" borderId="0" xfId="1" applyFont="1"/>
    <xf numFmtId="38" fontId="0" fillId="0" borderId="0" xfId="1" applyNumberFormat="1" applyFont="1" applyAlignment="1">
      <alignment horizontal="center"/>
    </xf>
    <xf numFmtId="167" fontId="5" fillId="0" borderId="0" xfId="0" applyNumberFormat="1" applyFont="1"/>
    <xf numFmtId="167" fontId="5" fillId="0" borderId="1" xfId="0" applyNumberFormat="1" applyFont="1" applyBorder="1"/>
    <xf numFmtId="0" fontId="0" fillId="0" borderId="0" xfId="1" applyNumberFormat="1" applyFont="1" applyAlignment="1">
      <alignment horizontal="center"/>
    </xf>
    <xf numFmtId="40" fontId="5" fillId="2" borderId="0" xfId="0" applyNumberFormat="1" applyFont="1" applyFill="1"/>
    <xf numFmtId="40" fontId="5" fillId="2" borderId="0" xfId="1" applyNumberFormat="1" applyFont="1" applyFill="1"/>
    <xf numFmtId="167" fontId="5" fillId="0" borderId="1" xfId="0" applyNumberFormat="1" applyFont="1" applyBorder="1" applyAlignment="1">
      <alignment horizontal="center"/>
    </xf>
  </cellXfs>
  <cellStyles count="27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" xfId="1" builtinId="3"/>
    <cellStyle name="Normal" xfId="0" builtinId="0"/>
    <cellStyle name="Porcentaje" xfId="26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operativa%20de%20agu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"/>
      <sheetName val="Proyección"/>
      <sheetName val="Indicadores"/>
      <sheetName val="Efectivo "/>
      <sheetName val="Financiamiento"/>
      <sheetName val="Efectivo CF"/>
      <sheetName val="Ind CF"/>
      <sheetName val="Resumen del escenario"/>
    </sheetNames>
    <sheetDataSet>
      <sheetData sheetId="0"/>
      <sheetData sheetId="1">
        <row r="33">
          <cell r="D33">
            <v>341.85000000000008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8"/>
  <sheetViews>
    <sheetView tabSelected="1" showRuler="0" workbookViewId="0">
      <selection activeCell="B36" sqref="B36"/>
    </sheetView>
  </sheetViews>
  <sheetFormatPr baseColWidth="10" defaultRowHeight="16"/>
  <cols>
    <col min="1" max="1" width="39.33203125" style="6" customWidth="1"/>
    <col min="2" max="3" width="11.33203125" style="6" bestFit="1" customWidth="1"/>
    <col min="4" max="4" width="11" style="6" bestFit="1" customWidth="1"/>
    <col min="5" max="5" width="10.83203125" style="14"/>
    <col min="6" max="6" width="3.33203125" style="14" customWidth="1"/>
    <col min="7" max="7" width="3.6640625" style="14" customWidth="1"/>
    <col min="8" max="8" width="32.6640625" style="14" customWidth="1"/>
    <col min="9" max="9" width="10.83203125" style="15"/>
    <col min="10" max="12" width="10.83203125" style="14"/>
    <col min="13" max="16384" width="10.83203125" style="6"/>
  </cols>
  <sheetData>
    <row r="1" spans="1:12">
      <c r="A1" s="7" t="s">
        <v>18</v>
      </c>
      <c r="B1" s="20">
        <v>2016</v>
      </c>
      <c r="C1" s="20">
        <v>2017</v>
      </c>
      <c r="D1" s="7" t="s">
        <v>0</v>
      </c>
    </row>
    <row r="2" spans="1:12">
      <c r="A2" s="7" t="s">
        <v>9</v>
      </c>
      <c r="B2" s="8">
        <f>+B3+B9</f>
        <v>2046.66</v>
      </c>
      <c r="C2" s="8">
        <f>+C3+C9</f>
        <v>2063.9879999999998</v>
      </c>
      <c r="D2" s="8">
        <f>+C2-B2</f>
        <v>17.327999999999747</v>
      </c>
    </row>
    <row r="3" spans="1:12" s="5" customFormat="1">
      <c r="A3" s="7" t="s">
        <v>1</v>
      </c>
      <c r="B3" s="8">
        <f>SUM(B4:B8)</f>
        <v>167.94</v>
      </c>
      <c r="C3" s="8">
        <f>SUM(C4:C8)</f>
        <v>233.43</v>
      </c>
      <c r="D3" s="8">
        <f t="shared" ref="D3:D28" si="0">+C3-B3</f>
        <v>65.490000000000009</v>
      </c>
      <c r="E3" s="16"/>
      <c r="F3" s="16"/>
      <c r="G3" s="16"/>
      <c r="H3" s="16"/>
      <c r="I3" s="16"/>
      <c r="J3" s="16"/>
      <c r="K3" s="16"/>
      <c r="L3" s="16"/>
    </row>
    <row r="4" spans="1:12">
      <c r="A4" s="9" t="s">
        <v>2</v>
      </c>
      <c r="B4" s="10">
        <v>90.78</v>
      </c>
      <c r="C4" s="10">
        <v>146.5</v>
      </c>
      <c r="D4" s="10">
        <f t="shared" si="0"/>
        <v>55.72</v>
      </c>
    </row>
    <row r="5" spans="1:12">
      <c r="A5" s="9" t="s">
        <v>25</v>
      </c>
      <c r="B5" s="10">
        <v>55.75</v>
      </c>
      <c r="C5" s="10">
        <v>56.1</v>
      </c>
      <c r="D5" s="10">
        <f t="shared" si="0"/>
        <v>0.35000000000000142</v>
      </c>
    </row>
    <row r="6" spans="1:12">
      <c r="A6" s="9" t="s">
        <v>3</v>
      </c>
      <c r="B6" s="10">
        <v>8.6</v>
      </c>
      <c r="C6" s="10">
        <v>6.4</v>
      </c>
      <c r="D6" s="10">
        <f t="shared" si="0"/>
        <v>-2.1999999999999993</v>
      </c>
    </row>
    <row r="7" spans="1:12">
      <c r="A7" s="9" t="s">
        <v>19</v>
      </c>
      <c r="B7" s="10">
        <v>8.8000000000000007</v>
      </c>
      <c r="C7" s="10">
        <v>19.690000000000001</v>
      </c>
      <c r="D7" s="10">
        <f t="shared" si="0"/>
        <v>10.89</v>
      </c>
    </row>
    <row r="8" spans="1:12">
      <c r="A8" s="9" t="s">
        <v>26</v>
      </c>
      <c r="B8" s="10">
        <v>4.01</v>
      </c>
      <c r="C8" s="10">
        <v>4.74</v>
      </c>
      <c r="D8" s="10">
        <f t="shared" si="0"/>
        <v>0.73000000000000043</v>
      </c>
    </row>
    <row r="9" spans="1:12" s="5" customFormat="1">
      <c r="A9" s="7" t="s">
        <v>4</v>
      </c>
      <c r="B9" s="8">
        <f>SUM(B10:B13)</f>
        <v>1878.72</v>
      </c>
      <c r="C9" s="8">
        <f>SUM(C10:C13)</f>
        <v>1830.558</v>
      </c>
      <c r="D9" s="8">
        <f t="shared" si="0"/>
        <v>-48.162000000000035</v>
      </c>
      <c r="E9" s="16"/>
      <c r="F9" s="16"/>
      <c r="G9" s="16"/>
      <c r="H9" s="16"/>
      <c r="I9" s="16"/>
      <c r="J9" s="16"/>
      <c r="K9" s="16"/>
      <c r="L9" s="16"/>
    </row>
    <row r="10" spans="1:12">
      <c r="A10" s="9" t="s">
        <v>5</v>
      </c>
      <c r="B10" s="10">
        <v>1803.1</v>
      </c>
      <c r="C10" s="10">
        <v>1775.76</v>
      </c>
      <c r="D10" s="10">
        <f t="shared" si="0"/>
        <v>-27.339999999999918</v>
      </c>
    </row>
    <row r="11" spans="1:12">
      <c r="A11" s="9" t="s">
        <v>31</v>
      </c>
      <c r="B11" s="10">
        <f>70.8+2.6</f>
        <v>73.399999999999991</v>
      </c>
      <c r="C11" s="10">
        <v>52.29</v>
      </c>
      <c r="D11" s="10">
        <f t="shared" si="0"/>
        <v>-21.109999999999992</v>
      </c>
    </row>
    <row r="12" spans="1:12">
      <c r="A12" s="9" t="s">
        <v>32</v>
      </c>
      <c r="B12" s="10">
        <v>0.84</v>
      </c>
      <c r="C12" s="10">
        <v>0.86799999999999999</v>
      </c>
      <c r="D12" s="10">
        <f t="shared" si="0"/>
        <v>2.8000000000000025E-2</v>
      </c>
    </row>
    <row r="13" spans="1:12">
      <c r="A13" s="9" t="s">
        <v>27</v>
      </c>
      <c r="B13" s="10">
        <v>1.38</v>
      </c>
      <c r="C13" s="10">
        <v>1.64</v>
      </c>
      <c r="D13" s="10">
        <f t="shared" si="0"/>
        <v>0.26</v>
      </c>
    </row>
    <row r="14" spans="1:12" s="5" customFormat="1">
      <c r="A14" s="7" t="s">
        <v>10</v>
      </c>
      <c r="B14" s="8">
        <f>+B15+B20</f>
        <v>325.45</v>
      </c>
      <c r="C14" s="8">
        <f>+C15+C20</f>
        <v>367.78300000000002</v>
      </c>
      <c r="D14" s="8">
        <f t="shared" si="0"/>
        <v>42.333000000000027</v>
      </c>
      <c r="E14" s="16"/>
      <c r="F14" s="16"/>
      <c r="G14" s="16"/>
      <c r="H14" s="16"/>
      <c r="I14" s="16"/>
      <c r="J14" s="16"/>
      <c r="K14" s="16"/>
      <c r="L14" s="16"/>
    </row>
    <row r="15" spans="1:12" s="5" customFormat="1">
      <c r="A15" s="7" t="s">
        <v>6</v>
      </c>
      <c r="B15" s="8">
        <f>SUM(B16:B19)</f>
        <v>76.23</v>
      </c>
      <c r="C15" s="8">
        <f>SUM(C16:C19)</f>
        <v>73.427000000000007</v>
      </c>
      <c r="D15" s="8">
        <f t="shared" si="0"/>
        <v>-2.8029999999999973</v>
      </c>
      <c r="E15" s="16"/>
      <c r="F15" s="16"/>
      <c r="G15" s="16"/>
      <c r="H15" s="16"/>
      <c r="I15" s="16"/>
      <c r="J15" s="16"/>
      <c r="K15" s="16"/>
      <c r="L15" s="16"/>
    </row>
    <row r="16" spans="1:12">
      <c r="A16" s="9" t="s">
        <v>22</v>
      </c>
      <c r="B16" s="10">
        <v>17.78</v>
      </c>
      <c r="C16" s="10">
        <v>23.597000000000001</v>
      </c>
      <c r="D16" s="10">
        <f t="shared" si="0"/>
        <v>5.8170000000000002</v>
      </c>
      <c r="I16" s="14"/>
    </row>
    <row r="17" spans="1:12">
      <c r="A17" s="9" t="s">
        <v>23</v>
      </c>
      <c r="B17" s="10">
        <v>12.87</v>
      </c>
      <c r="C17" s="10">
        <v>13.48</v>
      </c>
      <c r="D17" s="10">
        <f t="shared" si="0"/>
        <v>0.61000000000000121</v>
      </c>
      <c r="I17" s="14"/>
    </row>
    <row r="18" spans="1:12">
      <c r="A18" s="9" t="s">
        <v>28</v>
      </c>
      <c r="B18" s="10">
        <v>31.67</v>
      </c>
      <c r="C18" s="10">
        <f>22.34+2.5</f>
        <v>24.84</v>
      </c>
      <c r="D18" s="10">
        <f t="shared" si="0"/>
        <v>-6.8300000000000018</v>
      </c>
      <c r="I18" s="14"/>
    </row>
    <row r="19" spans="1:12">
      <c r="A19" s="9" t="s">
        <v>24</v>
      </c>
      <c r="B19" s="10">
        <f>1.9+12.01</f>
        <v>13.91</v>
      </c>
      <c r="C19" s="10">
        <v>11.51</v>
      </c>
      <c r="D19" s="10">
        <f t="shared" si="0"/>
        <v>-2.4000000000000004</v>
      </c>
      <c r="I19" s="14"/>
    </row>
    <row r="20" spans="1:12" s="5" customFormat="1">
      <c r="A20" s="7" t="s">
        <v>7</v>
      </c>
      <c r="B20" s="8">
        <f>SUM(B21:B23)</f>
        <v>249.22</v>
      </c>
      <c r="C20" s="8">
        <f>SUM(C21:C23)</f>
        <v>294.35599999999999</v>
      </c>
      <c r="D20" s="8">
        <f t="shared" si="0"/>
        <v>45.135999999999996</v>
      </c>
      <c r="E20" s="16"/>
      <c r="F20" s="16"/>
      <c r="G20" s="16"/>
      <c r="H20" s="16"/>
      <c r="I20" s="16"/>
      <c r="J20" s="16"/>
      <c r="K20" s="16"/>
      <c r="L20" s="16"/>
    </row>
    <row r="21" spans="1:12" s="5" customFormat="1">
      <c r="A21" s="11" t="s">
        <v>22</v>
      </c>
      <c r="B21" s="12">
        <v>5.6</v>
      </c>
      <c r="C21" s="12">
        <v>14.426</v>
      </c>
      <c r="D21" s="12">
        <f t="shared" si="0"/>
        <v>8.8260000000000005</v>
      </c>
      <c r="E21" s="16"/>
      <c r="F21" s="16"/>
      <c r="G21" s="16"/>
      <c r="H21" s="16"/>
      <c r="I21" s="16"/>
      <c r="J21" s="16"/>
      <c r="K21" s="16"/>
      <c r="L21" s="16"/>
    </row>
    <row r="22" spans="1:12" s="5" customFormat="1">
      <c r="A22" s="11" t="s">
        <v>28</v>
      </c>
      <c r="B22" s="12">
        <v>219.16</v>
      </c>
      <c r="C22" s="12">
        <v>254.11</v>
      </c>
      <c r="D22" s="12">
        <f t="shared" si="0"/>
        <v>34.950000000000017</v>
      </c>
      <c r="E22" s="16"/>
      <c r="F22" s="16"/>
      <c r="G22" s="16"/>
      <c r="H22" s="16"/>
      <c r="I22" s="16"/>
      <c r="J22" s="16"/>
      <c r="K22" s="16"/>
      <c r="L22" s="16"/>
    </row>
    <row r="23" spans="1:12" s="5" customFormat="1">
      <c r="A23" s="11" t="s">
        <v>29</v>
      </c>
      <c r="B23" s="12">
        <f>21.85+2.61</f>
        <v>24.46</v>
      </c>
      <c r="C23" s="12">
        <f>19.81+6.01</f>
        <v>25.82</v>
      </c>
      <c r="D23" s="12">
        <f t="shared" si="0"/>
        <v>1.3599999999999994</v>
      </c>
      <c r="E23" s="16"/>
      <c r="F23" s="16"/>
      <c r="G23" s="16"/>
      <c r="H23" s="16"/>
      <c r="I23" s="16"/>
      <c r="J23" s="16"/>
      <c r="K23" s="16"/>
      <c r="L23" s="16"/>
    </row>
    <row r="24" spans="1:12" s="5" customFormat="1">
      <c r="A24" s="7" t="s">
        <v>20</v>
      </c>
      <c r="B24" s="8">
        <f>SUM(B25:B27)</f>
        <v>1721.2150000000001</v>
      </c>
      <c r="C24" s="8">
        <f>SUM(C25:C27)</f>
        <v>1696.17</v>
      </c>
      <c r="D24" s="12">
        <f t="shared" si="0"/>
        <v>-25.045000000000073</v>
      </c>
      <c r="E24" s="16"/>
      <c r="F24" s="16"/>
      <c r="G24" s="16"/>
      <c r="H24" s="16"/>
      <c r="I24" s="16"/>
      <c r="J24" s="16"/>
      <c r="K24" s="16"/>
      <c r="L24" s="16"/>
    </row>
    <row r="25" spans="1:12">
      <c r="A25" s="9" t="s">
        <v>30</v>
      </c>
      <c r="B25" s="10">
        <f>804.47+369.93</f>
        <v>1174.4000000000001</v>
      </c>
      <c r="C25" s="10">
        <f>368.91+746.98+23.9</f>
        <v>1139.7900000000002</v>
      </c>
      <c r="D25" s="10">
        <f t="shared" si="0"/>
        <v>-34.6099999999999</v>
      </c>
      <c r="I25" s="14"/>
    </row>
    <row r="26" spans="1:12">
      <c r="A26" s="9" t="s">
        <v>21</v>
      </c>
      <c r="B26" s="10">
        <f>514.21-0.6</f>
        <v>513.61</v>
      </c>
      <c r="C26" s="10">
        <f>511.28+9.8</f>
        <v>521.07999999999993</v>
      </c>
      <c r="D26" s="10">
        <f t="shared" si="0"/>
        <v>7.4699999999999136</v>
      </c>
      <c r="I26" s="14"/>
    </row>
    <row r="27" spans="1:12">
      <c r="A27" s="9" t="s">
        <v>40</v>
      </c>
      <c r="B27" s="10">
        <v>33.204999999999998</v>
      </c>
      <c r="C27" s="10">
        <v>35.299999999999997</v>
      </c>
      <c r="D27" s="10">
        <f t="shared" si="0"/>
        <v>2.0949999999999989</v>
      </c>
      <c r="I27" s="14"/>
    </row>
    <row r="28" spans="1:12" s="5" customFormat="1">
      <c r="A28" s="7" t="s">
        <v>8</v>
      </c>
      <c r="B28" s="8">
        <f>+B24+B14</f>
        <v>2046.6650000000002</v>
      </c>
      <c r="C28" s="8">
        <f>+C24+C14</f>
        <v>2063.953</v>
      </c>
      <c r="D28" s="8">
        <f t="shared" si="0"/>
        <v>17.287999999999784</v>
      </c>
      <c r="E28" s="16"/>
      <c r="F28" s="16"/>
      <c r="G28" s="16"/>
      <c r="H28" s="16"/>
      <c r="I28" s="17"/>
      <c r="J28" s="16"/>
      <c r="K28" s="16"/>
      <c r="L28" s="16"/>
    </row>
    <row r="30" spans="1:12">
      <c r="A30" s="13" t="s">
        <v>17</v>
      </c>
      <c r="B30" s="20">
        <v>2017</v>
      </c>
    </row>
    <row r="31" spans="1:12">
      <c r="A31" s="8" t="s">
        <v>33</v>
      </c>
      <c r="B31" s="8">
        <f>+B32+B33</f>
        <v>427.23</v>
      </c>
    </row>
    <row r="32" spans="1:12">
      <c r="A32" s="10" t="s">
        <v>34</v>
      </c>
      <c r="B32" s="10">
        <v>255.69</v>
      </c>
    </row>
    <row r="33" spans="1:2">
      <c r="A33" s="10" t="s">
        <v>35</v>
      </c>
      <c r="B33" s="12">
        <v>171.54</v>
      </c>
    </row>
    <row r="34" spans="1:2">
      <c r="A34" s="8" t="s">
        <v>37</v>
      </c>
      <c r="B34" s="8">
        <f>SUM(B35:B37)</f>
        <v>408.45000000000005</v>
      </c>
    </row>
    <row r="35" spans="1:2">
      <c r="A35" s="10" t="s">
        <v>36</v>
      </c>
      <c r="B35" s="12">
        <v>148.96</v>
      </c>
    </row>
    <row r="36" spans="1:2">
      <c r="A36" s="12" t="s">
        <v>11</v>
      </c>
      <c r="B36" s="12">
        <v>90</v>
      </c>
    </row>
    <row r="37" spans="1:2">
      <c r="A37" s="10" t="s">
        <v>39</v>
      </c>
      <c r="B37" s="12">
        <v>169.49</v>
      </c>
    </row>
    <row r="38" spans="1:2">
      <c r="A38" s="8" t="s">
        <v>12</v>
      </c>
      <c r="B38" s="8">
        <f>+B31-B34</f>
        <v>18.779999999999973</v>
      </c>
    </row>
    <row r="39" spans="1:2">
      <c r="A39" s="12" t="s">
        <v>13</v>
      </c>
      <c r="B39" s="12">
        <v>4.4800000000000004</v>
      </c>
    </row>
    <row r="40" spans="1:2">
      <c r="A40" s="8" t="s">
        <v>14</v>
      </c>
      <c r="B40" s="8">
        <f>+B38-B39</f>
        <v>14.299999999999972</v>
      </c>
    </row>
    <row r="41" spans="1:2">
      <c r="A41" s="12" t="s">
        <v>15</v>
      </c>
      <c r="B41" s="12">
        <f>+B40*0.25</f>
        <v>3.5749999999999931</v>
      </c>
    </row>
    <row r="42" spans="1:2">
      <c r="A42" s="8" t="s">
        <v>16</v>
      </c>
      <c r="B42" s="8">
        <f>+B40-B41</f>
        <v>10.72499999999998</v>
      </c>
    </row>
    <row r="43" spans="1:2">
      <c r="A43" s="8" t="s">
        <v>38</v>
      </c>
      <c r="B43" s="8">
        <f>+B42*0.1</f>
        <v>1.072499999999998</v>
      </c>
    </row>
    <row r="44" spans="1:2">
      <c r="A44" s="8" t="s">
        <v>41</v>
      </c>
      <c r="B44" s="8">
        <f>+B42-B43</f>
        <v>9.6524999999999821</v>
      </c>
    </row>
    <row r="46" spans="1:2">
      <c r="A46" s="23" t="s">
        <v>56</v>
      </c>
      <c r="B46" s="5">
        <f>+C3-C15</f>
        <v>160.00299999999999</v>
      </c>
    </row>
    <row r="49" spans="6:9">
      <c r="F49" s="16"/>
    </row>
    <row r="50" spans="6:9">
      <c r="F50" s="16"/>
      <c r="G50" s="16"/>
      <c r="H50" s="16"/>
      <c r="I50" s="17"/>
    </row>
    <row r="51" spans="6:9">
      <c r="F51" s="16"/>
      <c r="G51" s="16"/>
      <c r="H51" s="16"/>
      <c r="I51" s="17"/>
    </row>
    <row r="52" spans="6:9">
      <c r="G52" s="16"/>
    </row>
    <row r="55" spans="6:9">
      <c r="G55" s="16"/>
      <c r="I55" s="17"/>
    </row>
    <row r="56" spans="6:9">
      <c r="G56" s="16"/>
    </row>
    <row r="59" spans="6:9">
      <c r="G59" s="16"/>
      <c r="I59" s="17"/>
    </row>
    <row r="60" spans="6:9">
      <c r="G60" s="16"/>
      <c r="H60" s="18"/>
      <c r="I60" s="19"/>
    </row>
    <row r="61" spans="6:9">
      <c r="G61" s="16"/>
      <c r="I61" s="17"/>
    </row>
    <row r="62" spans="6:9">
      <c r="G62" s="16"/>
    </row>
    <row r="63" spans="6:9">
      <c r="F63" s="16"/>
      <c r="G63" s="16"/>
      <c r="H63" s="16"/>
      <c r="I63" s="17"/>
    </row>
    <row r="64" spans="6:9">
      <c r="G64" s="16"/>
    </row>
    <row r="65" spans="6:9">
      <c r="G65" s="16"/>
    </row>
    <row r="66" spans="6:9">
      <c r="G66" s="16"/>
    </row>
    <row r="70" spans="6:9">
      <c r="G70" s="16"/>
    </row>
    <row r="72" spans="6:9">
      <c r="G72" s="16"/>
    </row>
    <row r="75" spans="6:9">
      <c r="H75" s="18"/>
    </row>
    <row r="76" spans="6:9">
      <c r="G76" s="16"/>
    </row>
    <row r="77" spans="6:9">
      <c r="F77" s="16"/>
      <c r="G77" s="16"/>
      <c r="H77" s="16"/>
      <c r="I77" s="17"/>
    </row>
    <row r="78" spans="6:9">
      <c r="F78" s="16"/>
      <c r="G78" s="16"/>
      <c r="H78" s="16"/>
      <c r="I78" s="1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1C4A-99FE-7B4A-9296-52FC6F608FC3}">
  <sheetPr codeName="Hoja2"/>
  <dimension ref="A1:Q37"/>
  <sheetViews>
    <sheetView workbookViewId="0">
      <selection activeCell="C9" sqref="C9"/>
    </sheetView>
  </sheetViews>
  <sheetFormatPr baseColWidth="10" defaultRowHeight="16"/>
  <cols>
    <col min="1" max="1" width="48.33203125" style="25" customWidth="1"/>
    <col min="2" max="2" width="13.1640625" style="25" customWidth="1"/>
    <col min="3" max="3" width="10.83203125" style="25"/>
    <col min="4" max="4" width="13" style="25" customWidth="1"/>
    <col min="5" max="13" width="10.83203125" style="25"/>
    <col min="14" max="14" width="12.1640625" style="25" customWidth="1"/>
    <col min="15" max="15" width="14.33203125" style="25" customWidth="1"/>
    <col min="16" max="16" width="13.1640625" style="25" customWidth="1"/>
    <col min="17" max="16384" width="10.83203125" style="25"/>
  </cols>
  <sheetData>
    <row r="1" spans="1:16">
      <c r="B1" s="53">
        <v>1</v>
      </c>
      <c r="C1" s="53">
        <v>2</v>
      </c>
      <c r="D1" s="53">
        <v>3</v>
      </c>
      <c r="E1" s="53">
        <v>4</v>
      </c>
      <c r="F1" s="53">
        <v>5</v>
      </c>
      <c r="G1" s="53">
        <v>6</v>
      </c>
      <c r="H1" s="53">
        <v>7</v>
      </c>
      <c r="I1" s="53">
        <v>8</v>
      </c>
      <c r="J1" s="53">
        <v>9</v>
      </c>
      <c r="K1" s="53">
        <v>10</v>
      </c>
      <c r="L1" s="53">
        <v>11</v>
      </c>
      <c r="M1" s="53">
        <v>12</v>
      </c>
      <c r="N1" s="53">
        <v>13</v>
      </c>
      <c r="O1" s="53">
        <v>14</v>
      </c>
      <c r="P1" s="53">
        <v>15</v>
      </c>
    </row>
    <row r="2" spans="1:16">
      <c r="A2" s="26" t="s">
        <v>17</v>
      </c>
      <c r="B2" s="52" t="str">
        <f>+C35</f>
        <v>Año 2020</v>
      </c>
      <c r="C2" s="52" t="str">
        <f t="shared" ref="C2:P2" si="0">+D35</f>
        <v>Año 2021</v>
      </c>
      <c r="D2" s="52" t="str">
        <f t="shared" si="0"/>
        <v>Año 2022</v>
      </c>
      <c r="E2" s="52" t="str">
        <f t="shared" si="0"/>
        <v>Año 2023</v>
      </c>
      <c r="F2" s="52" t="str">
        <f t="shared" si="0"/>
        <v>Año 2024</v>
      </c>
      <c r="G2" s="52" t="str">
        <f t="shared" si="0"/>
        <v>Año 2025</v>
      </c>
      <c r="H2" s="52" t="str">
        <f t="shared" si="0"/>
        <v>Año 2026</v>
      </c>
      <c r="I2" s="52" t="str">
        <f t="shared" si="0"/>
        <v>Año 2027</v>
      </c>
      <c r="J2" s="52" t="str">
        <f t="shared" si="0"/>
        <v>Año 2028</v>
      </c>
      <c r="K2" s="52" t="str">
        <f t="shared" si="0"/>
        <v>Año 2029</v>
      </c>
      <c r="L2" s="52" t="str">
        <f t="shared" si="0"/>
        <v>Año 2030</v>
      </c>
      <c r="M2" s="52" t="str">
        <f t="shared" si="0"/>
        <v>Año 2031</v>
      </c>
      <c r="N2" s="52" t="str">
        <f t="shared" si="0"/>
        <v>Año 2032</v>
      </c>
      <c r="O2" s="52" t="str">
        <f t="shared" si="0"/>
        <v>Año 2033</v>
      </c>
      <c r="P2" s="52" t="str">
        <f t="shared" si="0"/>
        <v>Año 2034</v>
      </c>
    </row>
    <row r="3" spans="1:16">
      <c r="A3" s="2" t="s">
        <v>33</v>
      </c>
      <c r="B3" s="2">
        <f>+B4+B5</f>
        <v>615.27599999999995</v>
      </c>
      <c r="C3" s="2">
        <f t="shared" ref="C3:P3" si="1">+C4+C5</f>
        <v>646.03980000000001</v>
      </c>
      <c r="D3" s="2">
        <f t="shared" si="1"/>
        <v>678.34178999999995</v>
      </c>
      <c r="E3" s="2">
        <f t="shared" si="1"/>
        <v>712.25887950000003</v>
      </c>
      <c r="F3" s="2">
        <f t="shared" si="1"/>
        <v>747.87182347500004</v>
      </c>
      <c r="G3" s="2">
        <f t="shared" si="1"/>
        <v>785.26541464875004</v>
      </c>
      <c r="H3" s="2">
        <f t="shared" si="1"/>
        <v>824.52868538118764</v>
      </c>
      <c r="I3" s="2">
        <f t="shared" si="1"/>
        <v>865.75511965024702</v>
      </c>
      <c r="J3" s="2">
        <f t="shared" si="1"/>
        <v>909.04287563275943</v>
      </c>
      <c r="K3" s="2">
        <f t="shared" si="1"/>
        <v>954.49501941439758</v>
      </c>
      <c r="L3" s="2">
        <f t="shared" si="1"/>
        <v>1002.2197703851175</v>
      </c>
      <c r="M3" s="2">
        <f t="shared" si="1"/>
        <v>1052.3307589043734</v>
      </c>
      <c r="N3" s="2">
        <f t="shared" si="1"/>
        <v>1104.947296849592</v>
      </c>
      <c r="O3" s="2">
        <f t="shared" si="1"/>
        <v>1160.1946616920718</v>
      </c>
      <c r="P3" s="2">
        <f t="shared" si="1"/>
        <v>1218.2043947766754</v>
      </c>
    </row>
    <row r="4" spans="1:16">
      <c r="A4" s="3" t="s">
        <v>34</v>
      </c>
      <c r="B4" s="3">
        <f>255.69*1.4</f>
        <v>357.96599999999995</v>
      </c>
      <c r="C4" s="3">
        <f>+B4*1.05</f>
        <v>375.86429999999996</v>
      </c>
      <c r="D4" s="3">
        <f t="shared" ref="D4:P4" si="2">+C4*1.05</f>
        <v>394.65751499999999</v>
      </c>
      <c r="E4" s="3">
        <f t="shared" si="2"/>
        <v>414.39039074999999</v>
      </c>
      <c r="F4" s="3">
        <f t="shared" si="2"/>
        <v>435.10991028749999</v>
      </c>
      <c r="G4" s="3">
        <f t="shared" si="2"/>
        <v>456.865405801875</v>
      </c>
      <c r="H4" s="3">
        <f t="shared" si="2"/>
        <v>479.70867609196875</v>
      </c>
      <c r="I4" s="3">
        <f t="shared" si="2"/>
        <v>503.69410989656723</v>
      </c>
      <c r="J4" s="3">
        <f t="shared" si="2"/>
        <v>528.87881539139562</v>
      </c>
      <c r="K4" s="3">
        <f t="shared" si="2"/>
        <v>555.32275616096547</v>
      </c>
      <c r="L4" s="3">
        <f t="shared" si="2"/>
        <v>583.08889396901372</v>
      </c>
      <c r="M4" s="3">
        <f t="shared" si="2"/>
        <v>612.2433386674644</v>
      </c>
      <c r="N4" s="3">
        <f t="shared" si="2"/>
        <v>642.85550560083766</v>
      </c>
      <c r="O4" s="3">
        <f>+N4*1.05</f>
        <v>674.99828088087952</v>
      </c>
      <c r="P4" s="3">
        <f t="shared" si="2"/>
        <v>708.7481949249235</v>
      </c>
    </row>
    <row r="5" spans="1:16">
      <c r="A5" s="3" t="s">
        <v>35</v>
      </c>
      <c r="B5" s="4">
        <f>171.54*1.5</f>
        <v>257.31</v>
      </c>
      <c r="C5" s="3">
        <f>+B5*1.05</f>
        <v>270.1755</v>
      </c>
      <c r="D5" s="3">
        <f t="shared" ref="D5:P5" si="3">+C5*1.05</f>
        <v>283.68427500000001</v>
      </c>
      <c r="E5" s="3">
        <f t="shared" si="3"/>
        <v>297.86848875000004</v>
      </c>
      <c r="F5" s="3">
        <f t="shared" si="3"/>
        <v>312.76191318750006</v>
      </c>
      <c r="G5" s="3">
        <f t="shared" si="3"/>
        <v>328.4000088468751</v>
      </c>
      <c r="H5" s="3">
        <f t="shared" si="3"/>
        <v>344.82000928921889</v>
      </c>
      <c r="I5" s="3">
        <f t="shared" si="3"/>
        <v>362.06100975367985</v>
      </c>
      <c r="J5" s="3">
        <f t="shared" si="3"/>
        <v>380.16406024136387</v>
      </c>
      <c r="K5" s="3">
        <f t="shared" si="3"/>
        <v>399.17226325343211</v>
      </c>
      <c r="L5" s="3">
        <f t="shared" si="3"/>
        <v>419.13087641610372</v>
      </c>
      <c r="M5" s="3">
        <f t="shared" si="3"/>
        <v>440.08742023690894</v>
      </c>
      <c r="N5" s="3">
        <f t="shared" si="3"/>
        <v>462.09179124875442</v>
      </c>
      <c r="O5" s="3">
        <f t="shared" si="3"/>
        <v>485.19638081119217</v>
      </c>
      <c r="P5" s="3">
        <f t="shared" si="3"/>
        <v>509.45619985175182</v>
      </c>
    </row>
    <row r="6" spans="1:16">
      <c r="A6" s="2" t="s">
        <v>37</v>
      </c>
      <c r="B6" s="2">
        <f>SUM(B7:B9)</f>
        <v>436.37030000000004</v>
      </c>
      <c r="C6" s="2">
        <f t="shared" ref="C6:P6" si="4">SUM(C7:C9)</f>
        <v>453.6308150000001</v>
      </c>
      <c r="D6" s="2">
        <f t="shared" si="4"/>
        <v>471.75435575000012</v>
      </c>
      <c r="E6" s="2">
        <f t="shared" si="4"/>
        <v>490.78407353750015</v>
      </c>
      <c r="F6" s="2">
        <f t="shared" si="4"/>
        <v>510.76527721437515</v>
      </c>
      <c r="G6" s="2">
        <f t="shared" si="4"/>
        <v>531.74554107509391</v>
      </c>
      <c r="H6" s="2">
        <f t="shared" si="4"/>
        <v>553.77481812884866</v>
      </c>
      <c r="I6" s="2">
        <f t="shared" si="4"/>
        <v>576.90555903529116</v>
      </c>
      <c r="J6" s="2">
        <f t="shared" si="4"/>
        <v>601.19283698705567</v>
      </c>
      <c r="K6" s="2">
        <f t="shared" si="4"/>
        <v>626.69447883640851</v>
      </c>
      <c r="L6" s="2">
        <f t="shared" si="4"/>
        <v>653.47120277822887</v>
      </c>
      <c r="M6" s="2">
        <f t="shared" si="4"/>
        <v>681.58676291714039</v>
      </c>
      <c r="N6" s="2">
        <f t="shared" si="4"/>
        <v>711.10810106299743</v>
      </c>
      <c r="O6" s="2">
        <f t="shared" si="4"/>
        <v>742.10550611614735</v>
      </c>
      <c r="P6" s="2">
        <f t="shared" si="4"/>
        <v>774.65278142195473</v>
      </c>
    </row>
    <row r="7" spans="1:16">
      <c r="A7" s="3" t="s">
        <v>36</v>
      </c>
      <c r="B7" s="4">
        <f>148.96*1.1</f>
        <v>163.85600000000002</v>
      </c>
      <c r="C7" s="3">
        <f>+B7*1.05</f>
        <v>172.04880000000003</v>
      </c>
      <c r="D7" s="3">
        <f t="shared" ref="D7:O7" si="5">+C7*1.05</f>
        <v>180.65124000000003</v>
      </c>
      <c r="E7" s="3">
        <f t="shared" si="5"/>
        <v>189.68380200000004</v>
      </c>
      <c r="F7" s="3">
        <f t="shared" si="5"/>
        <v>199.16799210000005</v>
      </c>
      <c r="G7" s="3">
        <f t="shared" si="5"/>
        <v>209.12639170500006</v>
      </c>
      <c r="H7" s="3">
        <f t="shared" si="5"/>
        <v>219.58271129025007</v>
      </c>
      <c r="I7" s="3">
        <f t="shared" si="5"/>
        <v>230.56184685476259</v>
      </c>
      <c r="J7" s="3">
        <f t="shared" si="5"/>
        <v>242.08993919750074</v>
      </c>
      <c r="K7" s="3">
        <f t="shared" si="5"/>
        <v>254.19443615737578</v>
      </c>
      <c r="L7" s="3">
        <f t="shared" si="5"/>
        <v>266.90415796524456</v>
      </c>
      <c r="M7" s="3">
        <f t="shared" si="5"/>
        <v>280.2493658635068</v>
      </c>
      <c r="N7" s="3">
        <f t="shared" si="5"/>
        <v>294.26183415668214</v>
      </c>
      <c r="O7" s="3">
        <f t="shared" si="5"/>
        <v>308.97492586451625</v>
      </c>
      <c r="P7" s="3">
        <f>+O7*1.05</f>
        <v>324.42367215774209</v>
      </c>
    </row>
    <row r="8" spans="1:16">
      <c r="A8" s="4" t="s">
        <v>11</v>
      </c>
      <c r="B8" s="4">
        <f>+($D$31-$D$33)/15</f>
        <v>91.160000000000011</v>
      </c>
      <c r="C8" s="4">
        <f t="shared" ref="C8:P8" si="6">+($D$31-$D$33)/15</f>
        <v>91.160000000000011</v>
      </c>
      <c r="D8" s="4">
        <f t="shared" si="6"/>
        <v>91.160000000000011</v>
      </c>
      <c r="E8" s="4">
        <f t="shared" si="6"/>
        <v>91.160000000000011</v>
      </c>
      <c r="F8" s="4">
        <f t="shared" si="6"/>
        <v>91.160000000000011</v>
      </c>
      <c r="G8" s="4">
        <f t="shared" si="6"/>
        <v>91.160000000000011</v>
      </c>
      <c r="H8" s="4">
        <f t="shared" si="6"/>
        <v>91.160000000000011</v>
      </c>
      <c r="I8" s="4">
        <f t="shared" si="6"/>
        <v>91.160000000000011</v>
      </c>
      <c r="J8" s="4">
        <f t="shared" si="6"/>
        <v>91.160000000000011</v>
      </c>
      <c r="K8" s="4">
        <f t="shared" si="6"/>
        <v>91.160000000000011</v>
      </c>
      <c r="L8" s="4">
        <f t="shared" si="6"/>
        <v>91.160000000000011</v>
      </c>
      <c r="M8" s="4">
        <f t="shared" si="6"/>
        <v>91.160000000000011</v>
      </c>
      <c r="N8" s="4">
        <f t="shared" si="6"/>
        <v>91.160000000000011</v>
      </c>
      <c r="O8" s="4">
        <f t="shared" si="6"/>
        <v>91.160000000000011</v>
      </c>
      <c r="P8" s="4">
        <f t="shared" si="6"/>
        <v>91.160000000000011</v>
      </c>
    </row>
    <row r="9" spans="1:16">
      <c r="A9" s="3" t="s">
        <v>39</v>
      </c>
      <c r="B9" s="4">
        <f>169.49*1.07</f>
        <v>181.35430000000002</v>
      </c>
      <c r="C9" s="3">
        <f>+B9*1.05</f>
        <v>190.42201500000004</v>
      </c>
      <c r="D9" s="3">
        <f t="shared" ref="D9:P9" si="7">+C9*1.05</f>
        <v>199.94311575000006</v>
      </c>
      <c r="E9" s="3">
        <f t="shared" si="7"/>
        <v>209.94027153750008</v>
      </c>
      <c r="F9" s="3">
        <f t="shared" si="7"/>
        <v>220.4372851143751</v>
      </c>
      <c r="G9" s="3">
        <f t="shared" si="7"/>
        <v>231.45914937009385</v>
      </c>
      <c r="H9" s="3">
        <f t="shared" si="7"/>
        <v>243.03210683859857</v>
      </c>
      <c r="I9" s="3">
        <f t="shared" si="7"/>
        <v>255.18371218052852</v>
      </c>
      <c r="J9" s="3">
        <f t="shared" si="7"/>
        <v>267.94289778955493</v>
      </c>
      <c r="K9" s="3">
        <f t="shared" si="7"/>
        <v>281.34004267903271</v>
      </c>
      <c r="L9" s="3">
        <f t="shared" si="7"/>
        <v>295.40704481298434</v>
      </c>
      <c r="M9" s="3">
        <f t="shared" si="7"/>
        <v>310.17739705363357</v>
      </c>
      <c r="N9" s="3">
        <f t="shared" si="7"/>
        <v>325.68626690631527</v>
      </c>
      <c r="O9" s="3">
        <f t="shared" si="7"/>
        <v>341.97058025163102</v>
      </c>
      <c r="P9" s="3">
        <f t="shared" si="7"/>
        <v>359.06910926421261</v>
      </c>
    </row>
    <row r="10" spans="1:16">
      <c r="A10" s="2" t="s">
        <v>12</v>
      </c>
      <c r="B10" s="2">
        <f>+B3-B6</f>
        <v>178.90569999999991</v>
      </c>
      <c r="C10" s="2">
        <f t="shared" ref="C10:P10" si="8">+C3-C6</f>
        <v>192.40898499999992</v>
      </c>
      <c r="D10" s="2">
        <f t="shared" si="8"/>
        <v>206.58743424999983</v>
      </c>
      <c r="E10" s="2">
        <f t="shared" si="8"/>
        <v>221.47480596249989</v>
      </c>
      <c r="F10" s="2">
        <f t="shared" si="8"/>
        <v>237.1065462606249</v>
      </c>
      <c r="G10" s="2">
        <f t="shared" si="8"/>
        <v>253.51987357365613</v>
      </c>
      <c r="H10" s="2">
        <f t="shared" si="8"/>
        <v>270.75386725233898</v>
      </c>
      <c r="I10" s="2">
        <f t="shared" si="8"/>
        <v>288.84956061495586</v>
      </c>
      <c r="J10" s="2">
        <f t="shared" si="8"/>
        <v>307.85003864570376</v>
      </c>
      <c r="K10" s="2">
        <f t="shared" si="8"/>
        <v>327.80054057798907</v>
      </c>
      <c r="L10" s="2">
        <f t="shared" si="8"/>
        <v>348.74856760688863</v>
      </c>
      <c r="M10" s="2">
        <f t="shared" si="8"/>
        <v>370.74399598723301</v>
      </c>
      <c r="N10" s="2">
        <f t="shared" si="8"/>
        <v>393.83919578659459</v>
      </c>
      <c r="O10" s="2">
        <f t="shared" si="8"/>
        <v>418.08915557592445</v>
      </c>
      <c r="P10" s="2">
        <f t="shared" si="8"/>
        <v>443.55161335472064</v>
      </c>
    </row>
    <row r="11" spans="1:16">
      <c r="A11" s="4" t="s">
        <v>13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2" t="s">
        <v>14</v>
      </c>
      <c r="B12" s="2">
        <f>+B10-B11</f>
        <v>178.90569999999991</v>
      </c>
      <c r="C12" s="2">
        <f t="shared" ref="C12:P12" si="9">+C10-C11</f>
        <v>192.40898499999992</v>
      </c>
      <c r="D12" s="2">
        <f t="shared" si="9"/>
        <v>206.58743424999983</v>
      </c>
      <c r="E12" s="2">
        <f t="shared" si="9"/>
        <v>221.47480596249989</v>
      </c>
      <c r="F12" s="2">
        <f t="shared" si="9"/>
        <v>237.1065462606249</v>
      </c>
      <c r="G12" s="2">
        <f t="shared" si="9"/>
        <v>253.51987357365613</v>
      </c>
      <c r="H12" s="2">
        <f t="shared" si="9"/>
        <v>270.75386725233898</v>
      </c>
      <c r="I12" s="2">
        <f t="shared" si="9"/>
        <v>288.84956061495586</v>
      </c>
      <c r="J12" s="2">
        <f t="shared" si="9"/>
        <v>307.85003864570376</v>
      </c>
      <c r="K12" s="2">
        <f t="shared" si="9"/>
        <v>327.80054057798907</v>
      </c>
      <c r="L12" s="2">
        <f t="shared" si="9"/>
        <v>348.74856760688863</v>
      </c>
      <c r="M12" s="2">
        <f t="shared" si="9"/>
        <v>370.74399598723301</v>
      </c>
      <c r="N12" s="2">
        <f t="shared" si="9"/>
        <v>393.83919578659459</v>
      </c>
      <c r="O12" s="2">
        <f t="shared" si="9"/>
        <v>418.08915557592445</v>
      </c>
      <c r="P12" s="2">
        <f t="shared" si="9"/>
        <v>443.55161335472064</v>
      </c>
    </row>
    <row r="13" spans="1:16">
      <c r="A13" s="4" t="s">
        <v>15</v>
      </c>
      <c r="B13" s="4">
        <f>IF(B12&lt;0,0,0.25*B12)</f>
        <v>44.726424999999978</v>
      </c>
      <c r="C13" s="4">
        <f t="shared" ref="C13:P13" si="10">IF(C12&lt;0,0,0.25*C12)</f>
        <v>48.102246249999979</v>
      </c>
      <c r="D13" s="4">
        <f t="shared" si="10"/>
        <v>51.646858562499958</v>
      </c>
      <c r="E13" s="4">
        <f t="shared" si="10"/>
        <v>55.368701490624971</v>
      </c>
      <c r="F13" s="4">
        <f t="shared" si="10"/>
        <v>59.276636565156224</v>
      </c>
      <c r="G13" s="4">
        <f t="shared" si="10"/>
        <v>63.379968393414032</v>
      </c>
      <c r="H13" s="4">
        <f t="shared" si="10"/>
        <v>67.688466813084744</v>
      </c>
      <c r="I13" s="4">
        <f t="shared" si="10"/>
        <v>72.212390153738966</v>
      </c>
      <c r="J13" s="4">
        <f t="shared" si="10"/>
        <v>76.962509661425941</v>
      </c>
      <c r="K13" s="4">
        <f t="shared" si="10"/>
        <v>81.950135144497267</v>
      </c>
      <c r="L13" s="4">
        <f t="shared" si="10"/>
        <v>87.187141901722157</v>
      </c>
      <c r="M13" s="4">
        <f t="shared" si="10"/>
        <v>92.685998996808252</v>
      </c>
      <c r="N13" s="4">
        <f t="shared" si="10"/>
        <v>98.459798946648647</v>
      </c>
      <c r="O13" s="4">
        <f t="shared" si="10"/>
        <v>104.52228889398111</v>
      </c>
      <c r="P13" s="4">
        <f t="shared" si="10"/>
        <v>110.88790333868016</v>
      </c>
    </row>
    <row r="14" spans="1:16">
      <c r="A14" s="2" t="s">
        <v>16</v>
      </c>
      <c r="B14" s="2">
        <f>+B12-B13</f>
        <v>134.17927499999993</v>
      </c>
      <c r="C14" s="2">
        <f t="shared" ref="C14:P14" si="11">+C12-C13</f>
        <v>144.30673874999994</v>
      </c>
      <c r="D14" s="2">
        <f t="shared" si="11"/>
        <v>154.94057568749986</v>
      </c>
      <c r="E14" s="2">
        <f t="shared" si="11"/>
        <v>166.10610447187491</v>
      </c>
      <c r="F14" s="2">
        <f t="shared" si="11"/>
        <v>177.82990969546867</v>
      </c>
      <c r="G14" s="2">
        <f t="shared" si="11"/>
        <v>190.1399051802421</v>
      </c>
      <c r="H14" s="2">
        <f t="shared" si="11"/>
        <v>203.06540043925423</v>
      </c>
      <c r="I14" s="2">
        <f t="shared" si="11"/>
        <v>216.6371704612169</v>
      </c>
      <c r="J14" s="2">
        <f t="shared" si="11"/>
        <v>230.88752898427782</v>
      </c>
      <c r="K14" s="2">
        <f t="shared" si="11"/>
        <v>245.8504054334918</v>
      </c>
      <c r="L14" s="2">
        <f t="shared" si="11"/>
        <v>261.56142570516647</v>
      </c>
      <c r="M14" s="2">
        <f t="shared" si="11"/>
        <v>278.05799699042473</v>
      </c>
      <c r="N14" s="2">
        <f t="shared" si="11"/>
        <v>295.37939683994591</v>
      </c>
      <c r="O14" s="2">
        <f t="shared" si="11"/>
        <v>313.56686668194334</v>
      </c>
      <c r="P14" s="2">
        <f t="shared" si="11"/>
        <v>332.66371001604045</v>
      </c>
    </row>
    <row r="17" spans="1:4">
      <c r="B17" s="62">
        <v>-1</v>
      </c>
      <c r="C17" s="62">
        <v>0</v>
      </c>
    </row>
    <row r="18" spans="1:4">
      <c r="A18" s="26" t="s">
        <v>42</v>
      </c>
      <c r="B18" s="52">
        <v>2018</v>
      </c>
      <c r="C18" s="52">
        <v>2019</v>
      </c>
      <c r="D18" s="26" t="s">
        <v>54</v>
      </c>
    </row>
    <row r="19" spans="1:4">
      <c r="A19" s="3" t="s">
        <v>43</v>
      </c>
      <c r="B19" s="3">
        <v>35.677999999999997</v>
      </c>
      <c r="C19" s="3">
        <f>+B19</f>
        <v>35.677999999999997</v>
      </c>
      <c r="D19" s="3">
        <f>+C19+B19</f>
        <v>71.355999999999995</v>
      </c>
    </row>
    <row r="20" spans="1:4">
      <c r="A20" s="3" t="s">
        <v>44</v>
      </c>
      <c r="B20" s="3">
        <v>28.9</v>
      </c>
      <c r="C20" s="3">
        <f>+B20</f>
        <v>28.9</v>
      </c>
      <c r="D20" s="3">
        <f t="shared" ref="D20:D30" si="12">+C20+B20</f>
        <v>57.8</v>
      </c>
    </row>
    <row r="21" spans="1:4">
      <c r="A21" s="3" t="s">
        <v>45</v>
      </c>
      <c r="B21" s="3">
        <v>145.66999999999999</v>
      </c>
      <c r="C21" s="3">
        <f>+B21</f>
        <v>145.66999999999999</v>
      </c>
      <c r="D21" s="3">
        <f t="shared" si="12"/>
        <v>291.33999999999997</v>
      </c>
    </row>
    <row r="22" spans="1:4">
      <c r="A22" s="3" t="s">
        <v>46</v>
      </c>
      <c r="B22" s="3">
        <v>124.54</v>
      </c>
      <c r="C22" s="3">
        <f>+B22</f>
        <v>124.54</v>
      </c>
      <c r="D22" s="3">
        <f t="shared" si="12"/>
        <v>249.08</v>
      </c>
    </row>
    <row r="23" spans="1:4">
      <c r="A23" s="3" t="s">
        <v>47</v>
      </c>
      <c r="B23" s="3">
        <v>125.66</v>
      </c>
      <c r="C23" s="3">
        <f>+B23*0.5</f>
        <v>62.83</v>
      </c>
      <c r="D23" s="3">
        <f t="shared" si="12"/>
        <v>188.49</v>
      </c>
    </row>
    <row r="24" spans="1:4">
      <c r="A24" s="3" t="s">
        <v>50</v>
      </c>
      <c r="B24" s="3">
        <v>178.34</v>
      </c>
      <c r="C24" s="3">
        <f>+B24*0.5</f>
        <v>89.17</v>
      </c>
      <c r="D24" s="3">
        <f t="shared" si="12"/>
        <v>267.51</v>
      </c>
    </row>
    <row r="25" spans="1:4">
      <c r="A25" s="3" t="s">
        <v>48</v>
      </c>
      <c r="B25" s="3">
        <v>250.6</v>
      </c>
      <c r="C25" s="3">
        <f>+B25*0.5</f>
        <v>125.3</v>
      </c>
      <c r="D25" s="3">
        <f t="shared" si="12"/>
        <v>375.9</v>
      </c>
    </row>
    <row r="26" spans="1:4">
      <c r="A26" s="3" t="s">
        <v>49</v>
      </c>
      <c r="B26" s="3">
        <v>122.3</v>
      </c>
      <c r="C26" s="3">
        <f>+B26*0.5</f>
        <v>61.15</v>
      </c>
      <c r="D26" s="3">
        <f t="shared" si="12"/>
        <v>183.45</v>
      </c>
    </row>
    <row r="27" spans="1:4">
      <c r="A27" s="3" t="s">
        <v>51</v>
      </c>
      <c r="B27" s="3">
        <v>2.4500000000000002</v>
      </c>
      <c r="C27" s="3">
        <f>+B27*3</f>
        <v>7.3500000000000005</v>
      </c>
      <c r="D27" s="3">
        <f t="shared" si="12"/>
        <v>9.8000000000000007</v>
      </c>
    </row>
    <row r="28" spans="1:4">
      <c r="A28" s="3" t="s">
        <v>55</v>
      </c>
      <c r="B28" s="3">
        <v>4.5</v>
      </c>
      <c r="C28" s="3">
        <f>+B28*1.2</f>
        <v>5.3999999999999995</v>
      </c>
      <c r="D28" s="3">
        <f t="shared" si="12"/>
        <v>9.8999999999999986</v>
      </c>
    </row>
    <row r="29" spans="1:4">
      <c r="A29" s="3" t="s">
        <v>52</v>
      </c>
      <c r="B29" s="3">
        <v>1.1200000000000001</v>
      </c>
      <c r="C29" s="3">
        <f>+B29*1.5</f>
        <v>1.6800000000000002</v>
      </c>
      <c r="D29" s="3">
        <f t="shared" si="12"/>
        <v>2.8000000000000003</v>
      </c>
    </row>
    <row r="30" spans="1:4">
      <c r="A30" s="3" t="s">
        <v>53</v>
      </c>
      <c r="B30" s="3">
        <v>0.45600000000000002</v>
      </c>
      <c r="C30" s="3">
        <f>+B30*3</f>
        <v>1.3680000000000001</v>
      </c>
      <c r="D30" s="3">
        <f t="shared" si="12"/>
        <v>1.8240000000000001</v>
      </c>
    </row>
    <row r="31" spans="1:4">
      <c r="A31" s="26" t="s">
        <v>54</v>
      </c>
      <c r="B31" s="2">
        <f>SUM(B19:B30)</f>
        <v>1020.2140000000001</v>
      </c>
      <c r="C31" s="2">
        <f>SUM(C19:C30)</f>
        <v>689.03599999999994</v>
      </c>
      <c r="D31" s="2">
        <f>SUM(D19:D30)</f>
        <v>1709.2500000000002</v>
      </c>
    </row>
    <row r="33" spans="1:17">
      <c r="A33" s="27"/>
      <c r="C33" s="28" t="s">
        <v>57</v>
      </c>
      <c r="D33" s="29">
        <f>+D31*0.2</f>
        <v>341.85000000000008</v>
      </c>
    </row>
    <row r="34" spans="1:17">
      <c r="B34" s="54">
        <v>0</v>
      </c>
      <c r="C34" s="54">
        <v>1</v>
      </c>
      <c r="D34" s="54">
        <v>2</v>
      </c>
      <c r="E34" s="54">
        <v>3</v>
      </c>
      <c r="F34" s="54">
        <v>4</v>
      </c>
      <c r="G34" s="54">
        <v>5</v>
      </c>
      <c r="H34" s="54">
        <v>6</v>
      </c>
      <c r="I34" s="54">
        <v>7</v>
      </c>
      <c r="J34" s="54">
        <v>8</v>
      </c>
      <c r="K34" s="54">
        <v>9</v>
      </c>
      <c r="L34" s="54">
        <v>10</v>
      </c>
      <c r="M34" s="54">
        <v>11</v>
      </c>
      <c r="N34" s="54">
        <v>12</v>
      </c>
      <c r="O34" s="54">
        <v>13</v>
      </c>
      <c r="P34" s="54">
        <v>14</v>
      </c>
      <c r="Q34" s="54">
        <v>15</v>
      </c>
    </row>
    <row r="35" spans="1:17">
      <c r="A35" s="3"/>
      <c r="B35" s="55" t="s">
        <v>123</v>
      </c>
      <c r="C35" s="55" t="s">
        <v>107</v>
      </c>
      <c r="D35" s="55" t="s">
        <v>108</v>
      </c>
      <c r="E35" s="55" t="s">
        <v>109</v>
      </c>
      <c r="F35" s="55" t="s">
        <v>110</v>
      </c>
      <c r="G35" s="55" t="s">
        <v>111</v>
      </c>
      <c r="H35" s="55" t="s">
        <v>112</v>
      </c>
      <c r="I35" s="55" t="s">
        <v>113</v>
      </c>
      <c r="J35" s="55" t="s">
        <v>114</v>
      </c>
      <c r="K35" s="55" t="s">
        <v>115</v>
      </c>
      <c r="L35" s="55" t="s">
        <v>116</v>
      </c>
      <c r="M35" s="55" t="s">
        <v>117</v>
      </c>
      <c r="N35" s="55" t="s">
        <v>118</v>
      </c>
      <c r="O35" s="55" t="s">
        <v>119</v>
      </c>
      <c r="P35" s="55" t="s">
        <v>120</v>
      </c>
      <c r="Q35" s="55" t="s">
        <v>121</v>
      </c>
    </row>
    <row r="36" spans="1:17">
      <c r="A36" s="56" t="s">
        <v>103</v>
      </c>
      <c r="B36" s="3">
        <f>+Estados!B46*0.3</f>
        <v>48.000899999999994</v>
      </c>
      <c r="C36" s="3">
        <f>+B3*0.2</f>
        <v>123.0552</v>
      </c>
      <c r="D36" s="3">
        <f t="shared" ref="D36:Q36" si="13">+C3*0.2</f>
        <v>129.20796000000001</v>
      </c>
      <c r="E36" s="3">
        <f t="shared" si="13"/>
        <v>135.66835799999998</v>
      </c>
      <c r="F36" s="3">
        <f t="shared" si="13"/>
        <v>142.4517759</v>
      </c>
      <c r="G36" s="3">
        <f t="shared" si="13"/>
        <v>149.57436469500001</v>
      </c>
      <c r="H36" s="3">
        <f t="shared" si="13"/>
        <v>157.05308292975002</v>
      </c>
      <c r="I36" s="3">
        <f t="shared" si="13"/>
        <v>164.90573707623753</v>
      </c>
      <c r="J36" s="3">
        <f t="shared" si="13"/>
        <v>173.1510239300494</v>
      </c>
      <c r="K36" s="3">
        <f>+J3*0.2</f>
        <v>181.80857512655189</v>
      </c>
      <c r="L36" s="3">
        <f t="shared" si="13"/>
        <v>190.89900388287953</v>
      </c>
      <c r="M36" s="3">
        <f t="shared" si="13"/>
        <v>200.44395407702351</v>
      </c>
      <c r="N36" s="3">
        <f t="shared" si="13"/>
        <v>210.4661517808747</v>
      </c>
      <c r="O36" s="3">
        <f t="shared" si="13"/>
        <v>220.98945936991842</v>
      </c>
      <c r="P36" s="3">
        <f t="shared" si="13"/>
        <v>232.03893233841438</v>
      </c>
      <c r="Q36" s="3">
        <f t="shared" si="13"/>
        <v>243.6408789553351</v>
      </c>
    </row>
    <row r="37" spans="1:17" s="29" customFormat="1">
      <c r="A37" s="56" t="s">
        <v>58</v>
      </c>
      <c r="B37" s="2">
        <f>-B36</f>
        <v>-48.000899999999994</v>
      </c>
      <c r="C37" s="2">
        <f t="shared" ref="C37:Q37" si="14">-C36+B36</f>
        <v>-75.054300000000012</v>
      </c>
      <c r="D37" s="2">
        <f t="shared" si="14"/>
        <v>-6.1527600000000149</v>
      </c>
      <c r="E37" s="2">
        <f t="shared" si="14"/>
        <v>-6.4603979999999694</v>
      </c>
      <c r="F37" s="2">
        <f t="shared" si="14"/>
        <v>-6.7834179000000177</v>
      </c>
      <c r="G37" s="2">
        <f t="shared" si="14"/>
        <v>-7.1225887950000129</v>
      </c>
      <c r="H37" s="2">
        <f t="shared" si="14"/>
        <v>-7.478718234750005</v>
      </c>
      <c r="I37" s="2">
        <f t="shared" si="14"/>
        <v>-7.8526541464875095</v>
      </c>
      <c r="J37" s="2">
        <f t="shared" si="14"/>
        <v>-8.2452868538118764</v>
      </c>
      <c r="K37" s="2">
        <f t="shared" si="14"/>
        <v>-8.6575511965024816</v>
      </c>
      <c r="L37" s="2">
        <f t="shared" si="14"/>
        <v>-9.0904287563276398</v>
      </c>
      <c r="M37" s="2">
        <f t="shared" si="14"/>
        <v>-9.5449501941439792</v>
      </c>
      <c r="N37" s="2">
        <f t="shared" si="14"/>
        <v>-10.022197703851191</v>
      </c>
      <c r="O37" s="2">
        <f t="shared" si="14"/>
        <v>-10.523307589043725</v>
      </c>
      <c r="P37" s="2">
        <f t="shared" si="14"/>
        <v>-11.049472968495962</v>
      </c>
      <c r="Q37" s="2">
        <f t="shared" si="14"/>
        <v>-11.601946616920713</v>
      </c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4024-20C9-FE4E-8082-BB25F8AA3639}">
  <sheetPr codeName="Hoja4"/>
  <dimension ref="A1:T25"/>
  <sheetViews>
    <sheetView workbookViewId="0">
      <selection activeCell="D10" sqref="D10"/>
    </sheetView>
  </sheetViews>
  <sheetFormatPr baseColWidth="10" defaultRowHeight="16"/>
  <cols>
    <col min="1" max="1" width="43" customWidth="1"/>
    <col min="2" max="2" width="11" customWidth="1"/>
  </cols>
  <sheetData>
    <row r="1" spans="1:20">
      <c r="A1" s="30"/>
      <c r="B1" s="31" t="s">
        <v>122</v>
      </c>
      <c r="C1" s="31" t="s">
        <v>123</v>
      </c>
      <c r="D1" s="31" t="s">
        <v>107</v>
      </c>
      <c r="E1" s="31" t="s">
        <v>108</v>
      </c>
      <c r="F1" s="31" t="s">
        <v>109</v>
      </c>
      <c r="G1" s="31" t="s">
        <v>110</v>
      </c>
      <c r="H1" s="31" t="s">
        <v>111</v>
      </c>
      <c r="I1" s="31" t="s">
        <v>112</v>
      </c>
      <c r="J1" s="31" t="s">
        <v>113</v>
      </c>
      <c r="K1" s="31" t="s">
        <v>114</v>
      </c>
      <c r="L1" s="31" t="s">
        <v>115</v>
      </c>
      <c r="M1" s="31" t="s">
        <v>116</v>
      </c>
      <c r="N1" s="31" t="s">
        <v>117</v>
      </c>
      <c r="O1" s="31" t="s">
        <v>118</v>
      </c>
      <c r="P1" s="31" t="s">
        <v>119</v>
      </c>
      <c r="Q1" s="31" t="s">
        <v>120</v>
      </c>
      <c r="R1" s="31" t="s">
        <v>121</v>
      </c>
      <c r="S1" s="31"/>
      <c r="T1" s="31"/>
    </row>
    <row r="2" spans="1:20">
      <c r="A2" s="32" t="s">
        <v>105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1" t="s">
        <v>104</v>
      </c>
      <c r="B3" s="31"/>
      <c r="C3" s="31"/>
      <c r="D3" s="25">
        <f>+Estados!$B$38</f>
        <v>18.779999999999973</v>
      </c>
      <c r="E3" s="25">
        <f>+Estados!$B$38</f>
        <v>18.779999999999973</v>
      </c>
      <c r="F3" s="25">
        <f>+Estados!$B$38</f>
        <v>18.779999999999973</v>
      </c>
      <c r="G3" s="25">
        <f>+Estados!$B$38</f>
        <v>18.779999999999973</v>
      </c>
      <c r="H3" s="25">
        <f>+Estados!$B$38</f>
        <v>18.779999999999973</v>
      </c>
      <c r="I3" s="25">
        <f>+Estados!$B$38</f>
        <v>18.779999999999973</v>
      </c>
      <c r="J3" s="25">
        <f>+Estados!$B$38</f>
        <v>18.779999999999973</v>
      </c>
      <c r="K3" s="25">
        <f>+Estados!$B$38</f>
        <v>18.779999999999973</v>
      </c>
      <c r="L3" s="25">
        <f>+Estados!$B$38</f>
        <v>18.779999999999973</v>
      </c>
      <c r="M3" s="25">
        <f>+Estados!$B$38</f>
        <v>18.779999999999973</v>
      </c>
      <c r="N3" s="25">
        <f>+Estados!$B$38</f>
        <v>18.779999999999973</v>
      </c>
      <c r="O3" s="25">
        <f>+Estados!$B$38</f>
        <v>18.779999999999973</v>
      </c>
      <c r="P3" s="25">
        <f>+Estados!$B$38</f>
        <v>18.779999999999973</v>
      </c>
      <c r="Q3" s="25">
        <f>+Estados!$B$38</f>
        <v>18.779999999999973</v>
      </c>
      <c r="R3" s="25">
        <f>+Estados!$B$38</f>
        <v>18.779999999999973</v>
      </c>
      <c r="S3" s="31"/>
      <c r="T3" s="31"/>
    </row>
    <row r="4" spans="1:20">
      <c r="A4" s="1" t="s">
        <v>11</v>
      </c>
      <c r="B4" s="31"/>
      <c r="C4" s="31"/>
      <c r="D4" s="25">
        <f>+Estados!$B$36</f>
        <v>90</v>
      </c>
      <c r="E4" s="25">
        <f>+Estados!$B$36</f>
        <v>90</v>
      </c>
      <c r="F4" s="25">
        <f>+Estados!$B$36</f>
        <v>90</v>
      </c>
      <c r="G4" s="25">
        <f>+Estados!$B$36</f>
        <v>90</v>
      </c>
      <c r="H4" s="25">
        <f>+Estados!$B$36</f>
        <v>90</v>
      </c>
      <c r="I4" s="25">
        <f>+Estados!$B$36</f>
        <v>90</v>
      </c>
      <c r="J4" s="25">
        <f>+Estados!$B$36</f>
        <v>90</v>
      </c>
      <c r="K4" s="25">
        <f>+Estados!$B$36</f>
        <v>90</v>
      </c>
      <c r="L4" s="25">
        <f>+Estados!$B$36</f>
        <v>90</v>
      </c>
      <c r="M4" s="25">
        <f>+Estados!$B$36</f>
        <v>90</v>
      </c>
      <c r="N4" s="25">
        <f>+Estados!$B$36</f>
        <v>90</v>
      </c>
      <c r="O4" s="25">
        <f>+Estados!$B$36</f>
        <v>90</v>
      </c>
      <c r="P4" s="25">
        <f>+Estados!$B$36</f>
        <v>90</v>
      </c>
      <c r="Q4" s="25">
        <f>+Estados!$B$36</f>
        <v>90</v>
      </c>
      <c r="R4" s="25">
        <f>+Estados!$B$36</f>
        <v>90</v>
      </c>
      <c r="S4" s="31"/>
      <c r="T4" s="31"/>
    </row>
    <row r="5" spans="1:20">
      <c r="A5" s="1" t="s">
        <v>15</v>
      </c>
      <c r="B5" s="31"/>
      <c r="C5" s="31"/>
      <c r="D5" s="25">
        <f>-Estados!$B$41</f>
        <v>-3.5749999999999931</v>
      </c>
      <c r="E5" s="25">
        <f>-Estados!$B$41</f>
        <v>-3.5749999999999931</v>
      </c>
      <c r="F5" s="25">
        <f>-Estados!$B$41</f>
        <v>-3.5749999999999931</v>
      </c>
      <c r="G5" s="25">
        <f>-Estados!$B$41</f>
        <v>-3.5749999999999931</v>
      </c>
      <c r="H5" s="25">
        <f>-Estados!$B$41</f>
        <v>-3.5749999999999931</v>
      </c>
      <c r="I5" s="25">
        <f>-Estados!$B$41</f>
        <v>-3.5749999999999931</v>
      </c>
      <c r="J5" s="25">
        <f>-Estados!$B$41</f>
        <v>-3.5749999999999931</v>
      </c>
      <c r="K5" s="25">
        <f>-Estados!$B$41</f>
        <v>-3.5749999999999931</v>
      </c>
      <c r="L5" s="25">
        <f>-Estados!$B$41</f>
        <v>-3.5749999999999931</v>
      </c>
      <c r="M5" s="25">
        <f>-Estados!$B$41</f>
        <v>-3.5749999999999931</v>
      </c>
      <c r="N5" s="25">
        <f>-Estados!$B$41</f>
        <v>-3.5749999999999931</v>
      </c>
      <c r="O5" s="25">
        <f>-Estados!$B$41</f>
        <v>-3.5749999999999931</v>
      </c>
      <c r="P5" s="25">
        <f>-Estados!$B$41</f>
        <v>-3.5749999999999931</v>
      </c>
      <c r="Q5" s="25">
        <f>-Estados!$B$41</f>
        <v>-3.5749999999999931</v>
      </c>
      <c r="R5" s="25">
        <f>-Estados!$B$41</f>
        <v>-3.5749999999999931</v>
      </c>
      <c r="S5" s="31"/>
      <c r="T5" s="31"/>
    </row>
    <row r="6" spans="1:20">
      <c r="A6" s="34" t="s">
        <v>69</v>
      </c>
      <c r="B6" s="34"/>
      <c r="C6" s="34"/>
      <c r="D6" s="35">
        <f>SUM(D3:D5)</f>
        <v>105.20499999999998</v>
      </c>
      <c r="E6" s="35">
        <f t="shared" ref="E6:R6" si="0">SUM(E3:E5)</f>
        <v>105.20499999999998</v>
      </c>
      <c r="F6" s="35">
        <f t="shared" si="0"/>
        <v>105.20499999999998</v>
      </c>
      <c r="G6" s="35">
        <f t="shared" si="0"/>
        <v>105.20499999999998</v>
      </c>
      <c r="H6" s="35">
        <f t="shared" si="0"/>
        <v>105.20499999999998</v>
      </c>
      <c r="I6" s="35">
        <f t="shared" si="0"/>
        <v>105.20499999999998</v>
      </c>
      <c r="J6" s="35">
        <f t="shared" si="0"/>
        <v>105.20499999999998</v>
      </c>
      <c r="K6" s="35">
        <f t="shared" si="0"/>
        <v>105.20499999999998</v>
      </c>
      <c r="L6" s="35">
        <f t="shared" si="0"/>
        <v>105.20499999999998</v>
      </c>
      <c r="M6" s="35">
        <f t="shared" si="0"/>
        <v>105.20499999999998</v>
      </c>
      <c r="N6" s="35">
        <f t="shared" si="0"/>
        <v>105.20499999999998</v>
      </c>
      <c r="O6" s="35">
        <f t="shared" si="0"/>
        <v>105.20499999999998</v>
      </c>
      <c r="P6" s="35">
        <f t="shared" si="0"/>
        <v>105.20499999999998</v>
      </c>
      <c r="Q6" s="35">
        <f t="shared" si="0"/>
        <v>105.20499999999998</v>
      </c>
      <c r="R6" s="35">
        <f t="shared" si="0"/>
        <v>105.20499999999998</v>
      </c>
      <c r="S6" s="31"/>
      <c r="T6" s="31"/>
    </row>
    <row r="7" spans="1:20">
      <c r="A7" s="32" t="s">
        <v>106</v>
      </c>
      <c r="B7" s="33"/>
      <c r="C7" s="25"/>
      <c r="D7" s="25"/>
      <c r="E7" s="25"/>
      <c r="F7" s="25"/>
      <c r="G7" s="25"/>
      <c r="H7" s="25"/>
      <c r="I7" s="25"/>
      <c r="J7" s="25"/>
      <c r="K7" s="1"/>
      <c r="L7" s="1"/>
      <c r="M7" s="1"/>
      <c r="N7" s="1"/>
      <c r="O7" s="1"/>
      <c r="P7" s="1"/>
      <c r="Q7" s="1"/>
      <c r="R7" s="1"/>
    </row>
    <row r="8" spans="1:20">
      <c r="A8" s="1" t="s">
        <v>104</v>
      </c>
      <c r="B8" s="25"/>
      <c r="C8" s="25"/>
      <c r="D8" s="25">
        <f>+'RES  INV'!B10</f>
        <v>178.90569999999991</v>
      </c>
      <c r="E8" s="25">
        <f>+'RES  INV'!C10</f>
        <v>192.40898499999992</v>
      </c>
      <c r="F8" s="25">
        <f>+'RES  INV'!D10</f>
        <v>206.58743424999983</v>
      </c>
      <c r="G8" s="25">
        <f>+'RES  INV'!E10</f>
        <v>221.47480596249989</v>
      </c>
      <c r="H8" s="25">
        <f>+'RES  INV'!F10</f>
        <v>237.1065462606249</v>
      </c>
      <c r="I8" s="25">
        <f>+'RES  INV'!G10</f>
        <v>253.51987357365613</v>
      </c>
      <c r="J8" s="25">
        <f>+'RES  INV'!H10</f>
        <v>270.75386725233898</v>
      </c>
      <c r="K8" s="25">
        <f>+'RES  INV'!I10</f>
        <v>288.84956061495586</v>
      </c>
      <c r="L8" s="25">
        <f>+'RES  INV'!J10</f>
        <v>307.85003864570376</v>
      </c>
      <c r="M8" s="25">
        <f>+'RES  INV'!K10</f>
        <v>327.80054057798907</v>
      </c>
      <c r="N8" s="25">
        <f>+'RES  INV'!L10</f>
        <v>348.74856760688863</v>
      </c>
      <c r="O8" s="25">
        <f>+'RES  INV'!M10</f>
        <v>370.74399598723301</v>
      </c>
      <c r="P8" s="25">
        <f>+'RES  INV'!N10</f>
        <v>393.83919578659459</v>
      </c>
      <c r="Q8" s="25">
        <f>+'RES  INV'!O10</f>
        <v>418.08915557592445</v>
      </c>
      <c r="R8" s="25">
        <f>+'RES  INV'!P10</f>
        <v>443.55161335472064</v>
      </c>
    </row>
    <row r="9" spans="1:20">
      <c r="A9" s="1" t="s">
        <v>11</v>
      </c>
      <c r="B9" s="25"/>
      <c r="C9" s="25"/>
      <c r="D9" s="25">
        <f>+'RES  INV'!B8</f>
        <v>91.160000000000011</v>
      </c>
      <c r="E9" s="25">
        <f>+'RES  INV'!C8</f>
        <v>91.160000000000011</v>
      </c>
      <c r="F9" s="25">
        <f>+'RES  INV'!D8</f>
        <v>91.160000000000011</v>
      </c>
      <c r="G9" s="25">
        <f>+'RES  INV'!E8</f>
        <v>91.160000000000011</v>
      </c>
      <c r="H9" s="25">
        <f>+'RES  INV'!F8</f>
        <v>91.160000000000011</v>
      </c>
      <c r="I9" s="25">
        <f>+'RES  INV'!G8</f>
        <v>91.160000000000011</v>
      </c>
      <c r="J9" s="25">
        <f>+'RES  INV'!H8</f>
        <v>91.160000000000011</v>
      </c>
      <c r="K9" s="25">
        <f>+'RES  INV'!I8</f>
        <v>91.160000000000011</v>
      </c>
      <c r="L9" s="25">
        <f>+'RES  INV'!J8</f>
        <v>91.160000000000011</v>
      </c>
      <c r="M9" s="25">
        <f>+'RES  INV'!K8</f>
        <v>91.160000000000011</v>
      </c>
      <c r="N9" s="25">
        <f>+'RES  INV'!L8</f>
        <v>91.160000000000011</v>
      </c>
      <c r="O9" s="25">
        <f>+'RES  INV'!M8</f>
        <v>91.160000000000011</v>
      </c>
      <c r="P9" s="25">
        <f>+'RES  INV'!N8</f>
        <v>91.160000000000011</v>
      </c>
      <c r="Q9" s="25">
        <f>+'RES  INV'!O8</f>
        <v>91.160000000000011</v>
      </c>
      <c r="R9" s="25">
        <f>+'RES  INV'!P8</f>
        <v>91.160000000000011</v>
      </c>
    </row>
    <row r="10" spans="1:20">
      <c r="A10" s="1" t="s">
        <v>15</v>
      </c>
      <c r="B10" s="25"/>
      <c r="C10" s="25"/>
      <c r="D10" s="25">
        <f>-'RES  INV'!B13</f>
        <v>-44.726424999999978</v>
      </c>
      <c r="E10" s="25">
        <f>-'RES  INV'!C13</f>
        <v>-48.102246249999979</v>
      </c>
      <c r="F10" s="25">
        <f>-'RES  INV'!D13</f>
        <v>-51.646858562499958</v>
      </c>
      <c r="G10" s="25">
        <f>-'RES  INV'!E13</f>
        <v>-55.368701490624971</v>
      </c>
      <c r="H10" s="25">
        <f>-'RES  INV'!F13</f>
        <v>-59.276636565156224</v>
      </c>
      <c r="I10" s="25">
        <f>-'RES  INV'!G13</f>
        <v>-63.379968393414032</v>
      </c>
      <c r="J10" s="25">
        <f>-'RES  INV'!H13</f>
        <v>-67.688466813084744</v>
      </c>
      <c r="K10" s="25">
        <f>-'RES  INV'!I13</f>
        <v>-72.212390153738966</v>
      </c>
      <c r="L10" s="25">
        <f>-'RES  INV'!J13</f>
        <v>-76.962509661425941</v>
      </c>
      <c r="M10" s="25">
        <f>-'RES  INV'!K13</f>
        <v>-81.950135144497267</v>
      </c>
      <c r="N10" s="25">
        <f>-'RES  INV'!L13</f>
        <v>-87.187141901722157</v>
      </c>
      <c r="O10" s="25">
        <f>-'RES  INV'!M13</f>
        <v>-92.685998996808252</v>
      </c>
      <c r="P10" s="25">
        <f>-'RES  INV'!N13</f>
        <v>-98.459798946648647</v>
      </c>
      <c r="Q10" s="25">
        <f>-'RES  INV'!O13</f>
        <v>-104.52228889398111</v>
      </c>
      <c r="R10" s="25">
        <f>-'RES  INV'!P13</f>
        <v>-110.88790333868016</v>
      </c>
    </row>
    <row r="11" spans="1:20">
      <c r="A11" s="34" t="s">
        <v>69</v>
      </c>
      <c r="B11" s="35"/>
      <c r="C11" s="35"/>
      <c r="D11" s="35">
        <f>SUM(D8:D10)</f>
        <v>225.33927499999996</v>
      </c>
      <c r="E11" s="35">
        <f t="shared" ref="E11:R11" si="1">+E8+E9-E10</f>
        <v>331.67123124999989</v>
      </c>
      <c r="F11" s="35">
        <f t="shared" si="1"/>
        <v>349.39429281249983</v>
      </c>
      <c r="G11" s="35">
        <f t="shared" si="1"/>
        <v>368.00350745312488</v>
      </c>
      <c r="H11" s="35">
        <f t="shared" si="1"/>
        <v>387.54318282578117</v>
      </c>
      <c r="I11" s="35">
        <f t="shared" si="1"/>
        <v>408.05984196707016</v>
      </c>
      <c r="J11" s="35">
        <f t="shared" si="1"/>
        <v>429.60233406542375</v>
      </c>
      <c r="K11" s="35">
        <f t="shared" si="1"/>
        <v>452.22195076869485</v>
      </c>
      <c r="L11" s="35">
        <f t="shared" si="1"/>
        <v>475.97254830712973</v>
      </c>
      <c r="M11" s="35">
        <f t="shared" si="1"/>
        <v>500.91067572248636</v>
      </c>
      <c r="N11" s="35">
        <f t="shared" si="1"/>
        <v>527.09570950861075</v>
      </c>
      <c r="O11" s="35">
        <f t="shared" si="1"/>
        <v>554.58999498404125</v>
      </c>
      <c r="P11" s="35">
        <f t="shared" si="1"/>
        <v>583.45899473324323</v>
      </c>
      <c r="Q11" s="35">
        <f t="shared" si="1"/>
        <v>613.77144446990565</v>
      </c>
      <c r="R11" s="35">
        <f t="shared" si="1"/>
        <v>645.5995166934008</v>
      </c>
    </row>
    <row r="12" spans="1:20">
      <c r="A12" s="32" t="s">
        <v>70</v>
      </c>
      <c r="B12" s="33"/>
      <c r="C12" s="25"/>
      <c r="D12" s="25"/>
      <c r="E12" s="25"/>
      <c r="F12" s="25"/>
      <c r="G12" s="25"/>
      <c r="H12" s="25"/>
      <c r="I12" s="25"/>
      <c r="J12" s="25"/>
      <c r="K12" s="1"/>
      <c r="L12" s="1"/>
      <c r="M12" s="1"/>
      <c r="N12" s="1"/>
      <c r="O12" s="1"/>
      <c r="P12" s="1"/>
      <c r="Q12" s="1"/>
      <c r="R12" s="1"/>
    </row>
    <row r="13" spans="1:20">
      <c r="A13" s="1" t="s">
        <v>71</v>
      </c>
      <c r="B13" s="25"/>
      <c r="C13" s="1">
        <f>+'RES  INV'!B37</f>
        <v>-48.000899999999994</v>
      </c>
      <c r="D13" s="25"/>
      <c r="E13" s="25"/>
      <c r="F13" s="25"/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</row>
    <row r="14" spans="1:20">
      <c r="A14" s="1" t="s">
        <v>72</v>
      </c>
      <c r="B14" s="25"/>
      <c r="C14" s="25"/>
      <c r="D14" s="25">
        <f>+'RES  INV'!C37</f>
        <v>-75.054300000000012</v>
      </c>
      <c r="E14" s="25">
        <f>+'RES  INV'!D37</f>
        <v>-6.1527600000000149</v>
      </c>
      <c r="F14" s="25">
        <f>+'RES  INV'!E37</f>
        <v>-6.4603979999999694</v>
      </c>
      <c r="G14" s="25">
        <f>+'RES  INV'!F37</f>
        <v>-6.7834179000000177</v>
      </c>
      <c r="H14" s="25">
        <f>+'RES  INV'!G37</f>
        <v>-7.1225887950000129</v>
      </c>
      <c r="I14" s="25">
        <f>+'RES  INV'!H37</f>
        <v>-7.478718234750005</v>
      </c>
      <c r="J14" s="25">
        <f>+'RES  INV'!I37</f>
        <v>-7.8526541464875095</v>
      </c>
      <c r="K14" s="25">
        <f>+'RES  INV'!J37</f>
        <v>-8.2452868538118764</v>
      </c>
      <c r="L14" s="25">
        <f>+'RES  INV'!K37</f>
        <v>-8.6575511965024816</v>
      </c>
      <c r="M14" s="25">
        <f>+'RES  INV'!L37</f>
        <v>-9.0904287563276398</v>
      </c>
      <c r="N14" s="25">
        <f>+'RES  INV'!M37</f>
        <v>-9.5449501941439792</v>
      </c>
      <c r="O14" s="25">
        <f>+'RES  INV'!N37</f>
        <v>-10.022197703851191</v>
      </c>
      <c r="P14" s="25">
        <f>+'RES  INV'!O37</f>
        <v>-10.523307589043725</v>
      </c>
      <c r="Q14" s="25">
        <f>+'RES  INV'!P37</f>
        <v>-11.049472968495962</v>
      </c>
      <c r="R14" s="25">
        <f>+'RES  INV'!Q37</f>
        <v>-11.601946616920713</v>
      </c>
    </row>
    <row r="15" spans="1:20">
      <c r="A15" s="1" t="s">
        <v>73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>
        <f>+'RES  INV'!Q36</f>
        <v>243.6408789553351</v>
      </c>
    </row>
    <row r="16" spans="1:20">
      <c r="A16" s="34" t="s">
        <v>74</v>
      </c>
      <c r="B16" s="35">
        <f>+B13+B14+B15</f>
        <v>0</v>
      </c>
      <c r="C16" s="35">
        <f t="shared" ref="C16:J16" si="2">+C13+C14+C15</f>
        <v>-48.000899999999994</v>
      </c>
      <c r="D16" s="35">
        <f t="shared" si="2"/>
        <v>-75.054300000000012</v>
      </c>
      <c r="E16" s="35">
        <f t="shared" si="2"/>
        <v>-6.1527600000000149</v>
      </c>
      <c r="F16" s="35">
        <f t="shared" si="2"/>
        <v>-6.4603979999999694</v>
      </c>
      <c r="G16" s="35">
        <f t="shared" si="2"/>
        <v>-6.7834179000000177</v>
      </c>
      <c r="H16" s="35">
        <f t="shared" si="2"/>
        <v>-7.1225887950000129</v>
      </c>
      <c r="I16" s="35">
        <f t="shared" si="2"/>
        <v>-7.478718234750005</v>
      </c>
      <c r="J16" s="35">
        <f t="shared" si="2"/>
        <v>-7.8526541464875095</v>
      </c>
      <c r="K16" s="35">
        <f t="shared" ref="K16:R16" si="3">+K13+K14+K15</f>
        <v>-8.2452868538118764</v>
      </c>
      <c r="L16" s="35">
        <f t="shared" si="3"/>
        <v>-8.6575511965024816</v>
      </c>
      <c r="M16" s="35">
        <f t="shared" si="3"/>
        <v>-9.0904287563276398</v>
      </c>
      <c r="N16" s="35">
        <f t="shared" si="3"/>
        <v>-9.5449501941439792</v>
      </c>
      <c r="O16" s="35">
        <f t="shared" si="3"/>
        <v>-10.022197703851191</v>
      </c>
      <c r="P16" s="35">
        <f t="shared" si="3"/>
        <v>-10.523307589043725</v>
      </c>
      <c r="Q16" s="35">
        <f t="shared" si="3"/>
        <v>-11.049472968495962</v>
      </c>
      <c r="R16" s="35">
        <f t="shared" si="3"/>
        <v>232.03893233841438</v>
      </c>
    </row>
    <row r="17" spans="1:18">
      <c r="A17" s="32" t="s">
        <v>75</v>
      </c>
      <c r="B17" s="33"/>
      <c r="C17" s="25"/>
      <c r="D17" s="25"/>
      <c r="E17" s="25"/>
      <c r="F17" s="25"/>
      <c r="G17" s="25"/>
      <c r="H17" s="25"/>
      <c r="I17" s="25"/>
      <c r="J17" s="25"/>
      <c r="K17" s="1"/>
      <c r="L17" s="1"/>
      <c r="M17" s="1"/>
      <c r="N17" s="1"/>
      <c r="O17" s="1"/>
      <c r="P17" s="1"/>
      <c r="Q17" s="1"/>
      <c r="R17" s="1"/>
    </row>
    <row r="18" spans="1:18">
      <c r="A18" s="1" t="s">
        <v>76</v>
      </c>
      <c r="B18" s="25">
        <f>-'RES  INV'!B31</f>
        <v>-1020.2140000000001</v>
      </c>
      <c r="C18" s="1">
        <f>-'RES  INV'!C31</f>
        <v>-689.03599999999994</v>
      </c>
      <c r="D18" s="25"/>
      <c r="E18" s="25"/>
      <c r="F18" s="25"/>
      <c r="G18" s="25"/>
      <c r="H18" s="25"/>
      <c r="I18" s="25"/>
      <c r="J18" s="25"/>
      <c r="K18" s="1"/>
      <c r="L18" s="1"/>
      <c r="M18" s="1"/>
      <c r="N18" s="1"/>
      <c r="O18" s="1"/>
      <c r="P18" s="1"/>
      <c r="Q18" s="1"/>
      <c r="R18" s="1"/>
    </row>
    <row r="19" spans="1:18">
      <c r="A19" s="1" t="s">
        <v>77</v>
      </c>
      <c r="B19" s="25"/>
      <c r="C19" s="25"/>
      <c r="D19" s="25"/>
      <c r="E19" s="25"/>
      <c r="F19" s="25"/>
      <c r="G19" s="25"/>
      <c r="H19" s="25"/>
      <c r="I19" s="25"/>
      <c r="J19" s="25"/>
      <c r="K19" s="1"/>
      <c r="L19" s="1"/>
      <c r="M19" s="1"/>
      <c r="N19" s="1"/>
      <c r="O19" s="1"/>
      <c r="P19" s="1"/>
      <c r="Q19" s="1"/>
      <c r="R19" s="1">
        <f>+'RES  INV'!D33</f>
        <v>341.85000000000008</v>
      </c>
    </row>
    <row r="20" spans="1:18">
      <c r="A20" s="34" t="s">
        <v>78</v>
      </c>
      <c r="B20" s="35">
        <f>+B18+B19</f>
        <v>-1020.2140000000001</v>
      </c>
      <c r="C20" s="35">
        <f t="shared" ref="C20:R20" si="4">+C18+C19</f>
        <v>-689.03599999999994</v>
      </c>
      <c r="D20" s="35">
        <f t="shared" si="4"/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5">
        <f t="shared" si="4"/>
        <v>0</v>
      </c>
      <c r="P20" s="35">
        <f t="shared" si="4"/>
        <v>0</v>
      </c>
      <c r="Q20" s="35">
        <f t="shared" si="4"/>
        <v>0</v>
      </c>
      <c r="R20" s="35">
        <f t="shared" si="4"/>
        <v>341.85000000000008</v>
      </c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pageMargins left="0" right="0" top="0" bottom="0" header="0" footer="0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4570-00A8-DE42-9DA6-30870CD6668E}">
  <sheetPr codeName="Hoja3"/>
  <dimension ref="A1:R14"/>
  <sheetViews>
    <sheetView workbookViewId="0">
      <selection activeCell="B4" sqref="B4"/>
    </sheetView>
  </sheetViews>
  <sheetFormatPr baseColWidth="10" defaultRowHeight="16"/>
  <cols>
    <col min="1" max="1" width="34.5" style="30" customWidth="1"/>
    <col min="2" max="2" width="14.83203125" style="30" customWidth="1"/>
    <col min="3" max="3" width="14.6640625" style="30" bestFit="1" customWidth="1"/>
    <col min="4" max="16384" width="10.83203125" style="30"/>
  </cols>
  <sheetData>
    <row r="1" spans="1:18">
      <c r="A1" s="45"/>
      <c r="B1" s="47" t="s">
        <v>122</v>
      </c>
      <c r="C1" s="47" t="s">
        <v>123</v>
      </c>
      <c r="D1" s="47" t="s">
        <v>107</v>
      </c>
      <c r="E1" s="47" t="s">
        <v>108</v>
      </c>
      <c r="F1" s="47" t="s">
        <v>109</v>
      </c>
      <c r="G1" s="47" t="s">
        <v>110</v>
      </c>
      <c r="H1" s="47" t="s">
        <v>111</v>
      </c>
      <c r="I1" s="47" t="s">
        <v>112</v>
      </c>
      <c r="J1" s="47" t="s">
        <v>113</v>
      </c>
      <c r="K1" s="47" t="s">
        <v>114</v>
      </c>
      <c r="L1" s="47" t="s">
        <v>115</v>
      </c>
      <c r="M1" s="47" t="s">
        <v>116</v>
      </c>
      <c r="N1" s="47" t="s">
        <v>117</v>
      </c>
      <c r="O1" s="47" t="s">
        <v>118</v>
      </c>
      <c r="P1" s="47" t="s">
        <v>119</v>
      </c>
      <c r="Q1" s="47" t="s">
        <v>120</v>
      </c>
      <c r="R1" s="47" t="s">
        <v>121</v>
      </c>
    </row>
    <row r="2" spans="1:18">
      <c r="A2" s="48" t="s">
        <v>68</v>
      </c>
      <c r="B2" s="49">
        <f>+'Efectivo '!B11</f>
        <v>0</v>
      </c>
      <c r="C2" s="49">
        <f>+'Efectivo '!C11</f>
        <v>0</v>
      </c>
      <c r="D2" s="49">
        <f>+'Efectivo '!D11</f>
        <v>225.33927499999996</v>
      </c>
      <c r="E2" s="49">
        <f>+'Efectivo '!E11</f>
        <v>331.67123124999989</v>
      </c>
      <c r="F2" s="49">
        <f>+'Efectivo '!F11</f>
        <v>349.39429281249983</v>
      </c>
      <c r="G2" s="49">
        <f>+'Efectivo '!G11</f>
        <v>368.00350745312488</v>
      </c>
      <c r="H2" s="49">
        <f>+'Efectivo '!H11</f>
        <v>387.54318282578117</v>
      </c>
      <c r="I2" s="49">
        <f>+'Efectivo '!I11</f>
        <v>408.05984196707016</v>
      </c>
      <c r="J2" s="49">
        <f>+'Efectivo '!J11</f>
        <v>429.60233406542375</v>
      </c>
      <c r="K2" s="49">
        <f>+'Efectivo '!K11</f>
        <v>452.22195076869485</v>
      </c>
      <c r="L2" s="49">
        <f>+'Efectivo '!L11</f>
        <v>475.97254830712973</v>
      </c>
      <c r="M2" s="49">
        <f>+'Efectivo '!M11</f>
        <v>500.91067572248636</v>
      </c>
      <c r="N2" s="49">
        <f>+'Efectivo '!N11</f>
        <v>527.09570950861075</v>
      </c>
      <c r="O2" s="49">
        <f>+'Efectivo '!O11</f>
        <v>554.58999498404125</v>
      </c>
      <c r="P2" s="49">
        <f>+'Efectivo '!P11</f>
        <v>583.45899473324323</v>
      </c>
      <c r="Q2" s="49">
        <f>+'Efectivo '!Q11</f>
        <v>613.77144446990565</v>
      </c>
      <c r="R2" s="49">
        <f>+'Efectivo '!R11</f>
        <v>645.5995166934008</v>
      </c>
    </row>
    <row r="3" spans="1:18">
      <c r="A3" s="48" t="s">
        <v>70</v>
      </c>
      <c r="B3" s="49">
        <f>+'Efectivo '!B16</f>
        <v>0</v>
      </c>
      <c r="C3" s="49">
        <f>+'Efectivo '!C16</f>
        <v>-48.000899999999994</v>
      </c>
      <c r="D3" s="49">
        <f>+'Efectivo '!D16</f>
        <v>-75.054300000000012</v>
      </c>
      <c r="E3" s="49">
        <f>+'Efectivo '!E16</f>
        <v>-6.1527600000000149</v>
      </c>
      <c r="F3" s="49">
        <f>+'Efectivo '!F16</f>
        <v>-6.4603979999999694</v>
      </c>
      <c r="G3" s="49">
        <f>+'Efectivo '!G16</f>
        <v>-6.7834179000000177</v>
      </c>
      <c r="H3" s="49">
        <f>+'Efectivo '!H16</f>
        <v>-7.1225887950000129</v>
      </c>
      <c r="I3" s="49">
        <f>+'Efectivo '!I16</f>
        <v>-7.478718234750005</v>
      </c>
      <c r="J3" s="49">
        <f>+'Efectivo '!J16</f>
        <v>-7.8526541464875095</v>
      </c>
      <c r="K3" s="49">
        <f>+'Efectivo '!K16</f>
        <v>-8.2452868538118764</v>
      </c>
      <c r="L3" s="49">
        <f>+'Efectivo '!L16</f>
        <v>-8.6575511965024816</v>
      </c>
      <c r="M3" s="49">
        <f>+'Efectivo '!M16</f>
        <v>-9.0904287563276398</v>
      </c>
      <c r="N3" s="49">
        <f>+'Efectivo '!N16</f>
        <v>-9.5449501941439792</v>
      </c>
      <c r="O3" s="49">
        <f>+'Efectivo '!O16</f>
        <v>-10.022197703851191</v>
      </c>
      <c r="P3" s="49">
        <f>+'Efectivo '!P16</f>
        <v>-10.523307589043725</v>
      </c>
      <c r="Q3" s="49">
        <f>+'Efectivo '!Q16</f>
        <v>-11.049472968495962</v>
      </c>
      <c r="R3" s="49">
        <f>+'Efectivo '!R16</f>
        <v>232.03893233841438</v>
      </c>
    </row>
    <row r="4" spans="1:18">
      <c r="A4" s="48" t="s">
        <v>75</v>
      </c>
      <c r="B4" s="49">
        <f>+'Efectivo '!B20</f>
        <v>-1020.2140000000001</v>
      </c>
      <c r="C4" s="49">
        <f>+'Efectivo '!C20</f>
        <v>-689.03599999999994</v>
      </c>
      <c r="D4" s="49">
        <f>+'Efectivo '!D20</f>
        <v>0</v>
      </c>
      <c r="E4" s="49">
        <f>+'Efectivo '!E20</f>
        <v>0</v>
      </c>
      <c r="F4" s="49">
        <f>+'Efectivo '!F20</f>
        <v>0</v>
      </c>
      <c r="G4" s="49">
        <f>+'Efectivo '!G20</f>
        <v>0</v>
      </c>
      <c r="H4" s="49">
        <f>+'Efectivo '!H20</f>
        <v>0</v>
      </c>
      <c r="I4" s="49">
        <f>+'Efectivo '!I20</f>
        <v>0</v>
      </c>
      <c r="J4" s="49">
        <f>+'Efectivo '!J20</f>
        <v>0</v>
      </c>
      <c r="K4" s="49">
        <f>+'Efectivo '!K20</f>
        <v>0</v>
      </c>
      <c r="L4" s="49">
        <f>+'Efectivo '!L20</f>
        <v>0</v>
      </c>
      <c r="M4" s="49">
        <f>+'Efectivo '!M20</f>
        <v>0</v>
      </c>
      <c r="N4" s="49">
        <f>+'Efectivo '!N20</f>
        <v>0</v>
      </c>
      <c r="O4" s="49">
        <f>+'Efectivo '!O20</f>
        <v>0</v>
      </c>
      <c r="P4" s="49">
        <f>+'Efectivo '!P20</f>
        <v>0</v>
      </c>
      <c r="Q4" s="49">
        <f>+'Efectivo '!Q20</f>
        <v>0</v>
      </c>
      <c r="R4" s="49">
        <f>+'Efectivo '!R20</f>
        <v>341.85000000000008</v>
      </c>
    </row>
    <row r="5" spans="1:18">
      <c r="A5" s="50" t="s">
        <v>90</v>
      </c>
      <c r="B5" s="51">
        <f>SUM(B2:B4)</f>
        <v>-1020.2140000000001</v>
      </c>
      <c r="C5" s="51">
        <f t="shared" ref="C5:R5" si="0">SUM(C2:C4)</f>
        <v>-737.03689999999995</v>
      </c>
      <c r="D5" s="51">
        <f t="shared" si="0"/>
        <v>150.28497499999995</v>
      </c>
      <c r="E5" s="51">
        <f t="shared" si="0"/>
        <v>325.51847124999989</v>
      </c>
      <c r="F5" s="51">
        <f t="shared" si="0"/>
        <v>342.93389481249983</v>
      </c>
      <c r="G5" s="51">
        <f t="shared" si="0"/>
        <v>361.22008955312486</v>
      </c>
      <c r="H5" s="51">
        <f t="shared" si="0"/>
        <v>380.42059403078116</v>
      </c>
      <c r="I5" s="51">
        <f t="shared" si="0"/>
        <v>400.58112373232018</v>
      </c>
      <c r="J5" s="51">
        <f t="shared" si="0"/>
        <v>421.74967991893624</v>
      </c>
      <c r="K5" s="51">
        <f t="shared" si="0"/>
        <v>443.97666391488298</v>
      </c>
      <c r="L5" s="51">
        <f t="shared" si="0"/>
        <v>467.31499711062725</v>
      </c>
      <c r="M5" s="51">
        <f t="shared" si="0"/>
        <v>491.82024696615872</v>
      </c>
      <c r="N5" s="51">
        <f t="shared" si="0"/>
        <v>517.55075931446675</v>
      </c>
      <c r="O5" s="51">
        <f t="shared" si="0"/>
        <v>544.56779728019001</v>
      </c>
      <c r="P5" s="51">
        <f t="shared" si="0"/>
        <v>572.93568714419951</v>
      </c>
      <c r="Q5" s="51">
        <f t="shared" si="0"/>
        <v>602.72197150140971</v>
      </c>
      <c r="R5" s="51">
        <f t="shared" si="0"/>
        <v>1219.4884490318152</v>
      </c>
    </row>
    <row r="6" spans="1:18">
      <c r="A6" s="50" t="s">
        <v>89</v>
      </c>
      <c r="B6" s="51"/>
      <c r="C6" s="51"/>
      <c r="D6" s="51">
        <f>+'Efectivo '!D6</f>
        <v>105.20499999999998</v>
      </c>
      <c r="E6" s="51">
        <f>+'Efectivo '!E6</f>
        <v>105.20499999999998</v>
      </c>
      <c r="F6" s="51">
        <f>+'Efectivo '!F6</f>
        <v>105.20499999999998</v>
      </c>
      <c r="G6" s="51">
        <f>+'Efectivo '!G6</f>
        <v>105.20499999999998</v>
      </c>
      <c r="H6" s="51">
        <f>+'Efectivo '!H6</f>
        <v>105.20499999999998</v>
      </c>
      <c r="I6" s="51">
        <f>+'Efectivo '!I6</f>
        <v>105.20499999999998</v>
      </c>
      <c r="J6" s="51">
        <f>+'Efectivo '!J6</f>
        <v>105.20499999999998</v>
      </c>
      <c r="K6" s="51">
        <f>+'Efectivo '!K6</f>
        <v>105.20499999999998</v>
      </c>
      <c r="L6" s="51">
        <f>+'Efectivo '!L6</f>
        <v>105.20499999999998</v>
      </c>
      <c r="M6" s="51">
        <f>+'Efectivo '!M6</f>
        <v>105.20499999999998</v>
      </c>
      <c r="N6" s="51">
        <f>+'Efectivo '!N6</f>
        <v>105.20499999999998</v>
      </c>
      <c r="O6" s="51">
        <f>+'Efectivo '!O6</f>
        <v>105.20499999999998</v>
      </c>
      <c r="P6" s="51">
        <f>+'Efectivo '!P6</f>
        <v>105.20499999999998</v>
      </c>
      <c r="Q6" s="51">
        <f>+'Efectivo '!Q6</f>
        <v>105.20499999999998</v>
      </c>
      <c r="R6" s="51">
        <f>+'Efectivo '!R6</f>
        <v>105.20499999999998</v>
      </c>
    </row>
    <row r="7" spans="1:18">
      <c r="A7" s="50" t="s">
        <v>91</v>
      </c>
      <c r="B7" s="51">
        <f>+B5-B6</f>
        <v>-1020.2140000000001</v>
      </c>
      <c r="C7" s="51">
        <f t="shared" ref="C7:R7" si="1">+C5-C6</f>
        <v>-737.03689999999995</v>
      </c>
      <c r="D7" s="51">
        <f t="shared" si="1"/>
        <v>45.079974999999962</v>
      </c>
      <c r="E7" s="51">
        <f t="shared" si="1"/>
        <v>220.31347124999991</v>
      </c>
      <c r="F7" s="51">
        <f t="shared" si="1"/>
        <v>237.72889481249985</v>
      </c>
      <c r="G7" s="51">
        <f t="shared" si="1"/>
        <v>256.01508955312488</v>
      </c>
      <c r="H7" s="51">
        <f t="shared" si="1"/>
        <v>275.21559403078118</v>
      </c>
      <c r="I7" s="51">
        <f t="shared" si="1"/>
        <v>295.3761237323202</v>
      </c>
      <c r="J7" s="51">
        <f t="shared" si="1"/>
        <v>316.54467991893625</v>
      </c>
      <c r="K7" s="51">
        <f t="shared" si="1"/>
        <v>338.77166391488299</v>
      </c>
      <c r="L7" s="51">
        <f t="shared" si="1"/>
        <v>362.10999711062726</v>
      </c>
      <c r="M7" s="51">
        <f t="shared" si="1"/>
        <v>386.61524696615874</v>
      </c>
      <c r="N7" s="51">
        <f t="shared" si="1"/>
        <v>412.34575931446676</v>
      </c>
      <c r="O7" s="51">
        <f t="shared" si="1"/>
        <v>439.36279728019002</v>
      </c>
      <c r="P7" s="51">
        <f t="shared" si="1"/>
        <v>467.73068714419952</v>
      </c>
      <c r="Q7" s="51">
        <f t="shared" si="1"/>
        <v>497.51697150140973</v>
      </c>
      <c r="R7" s="51">
        <f t="shared" si="1"/>
        <v>1114.2834490318153</v>
      </c>
    </row>
    <row r="11" spans="1:18">
      <c r="A11" s="60" t="s">
        <v>88</v>
      </c>
      <c r="B11" s="58">
        <f>NPV(0.1267,C7:R7)+B7</f>
        <v>46.054434140930766</v>
      </c>
    </row>
    <row r="12" spans="1:18">
      <c r="A12" s="60" t="s">
        <v>87</v>
      </c>
      <c r="B12" s="59">
        <f>IRR(B7:R7)</f>
        <v>0.13031126619391209</v>
      </c>
    </row>
    <row r="13" spans="1:18">
      <c r="A13" s="36"/>
      <c r="B13" s="37"/>
      <c r="C13" s="24"/>
      <c r="D13" s="38"/>
    </row>
    <row r="14" spans="1:18">
      <c r="B14" s="24"/>
      <c r="C14" s="24"/>
    </row>
  </sheetData>
  <pageMargins left="0" right="0" top="0" bottom="0" header="0" footer="0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A08F-1FE7-264C-B142-44EE8F039073}">
  <dimension ref="A2:L19"/>
  <sheetViews>
    <sheetView workbookViewId="0">
      <selection activeCell="B5" sqref="B5"/>
    </sheetView>
  </sheetViews>
  <sheetFormatPr baseColWidth="10" defaultColWidth="8.83203125" defaultRowHeight="16"/>
  <cols>
    <col min="1" max="1" width="16.33203125" customWidth="1"/>
    <col min="2" max="2" width="20.5" customWidth="1"/>
    <col min="3" max="3" width="12.6640625" bestFit="1" customWidth="1"/>
    <col min="4" max="4" width="10.83203125" customWidth="1"/>
    <col min="5" max="5" width="12" customWidth="1"/>
    <col min="12" max="12" width="20.5" bestFit="1" customWidth="1"/>
    <col min="13" max="13" width="10.33203125" bestFit="1" customWidth="1"/>
  </cols>
  <sheetData>
    <row r="2" spans="1:12">
      <c r="A2" t="s">
        <v>92</v>
      </c>
    </row>
    <row r="3" spans="1:12">
      <c r="A3" t="s">
        <v>93</v>
      </c>
      <c r="B3" s="38">
        <f>+C3*'RES  INV'!D31</f>
        <v>1020.2140000000001</v>
      </c>
      <c r="C3" s="57">
        <f>+'RES  INV'!B31/'RES  INV'!D31</f>
        <v>0.59687816293696061</v>
      </c>
    </row>
    <row r="4" spans="1:12">
      <c r="A4" t="s">
        <v>94</v>
      </c>
      <c r="B4" s="39">
        <v>0.04</v>
      </c>
      <c r="C4" t="s">
        <v>95</v>
      </c>
    </row>
    <row r="5" spans="1:12" ht="48">
      <c r="A5" s="40" t="s">
        <v>96</v>
      </c>
      <c r="B5">
        <v>10</v>
      </c>
      <c r="C5" t="s">
        <v>97</v>
      </c>
    </row>
    <row r="6" spans="1:12">
      <c r="A6" s="40" t="s">
        <v>98</v>
      </c>
      <c r="B6" s="61">
        <f>-PMT(B4,B5,B3)</f>
        <v>125.78314747882591</v>
      </c>
      <c r="I6" s="41"/>
      <c r="J6" s="21"/>
      <c r="L6" s="42"/>
    </row>
    <row r="8" spans="1:12" ht="32">
      <c r="A8" s="43" t="s">
        <v>99</v>
      </c>
      <c r="B8" s="43" t="s">
        <v>98</v>
      </c>
      <c r="C8" s="44" t="s">
        <v>100</v>
      </c>
      <c r="D8" s="43" t="s">
        <v>101</v>
      </c>
      <c r="E8" s="43" t="s">
        <v>102</v>
      </c>
    </row>
    <row r="9" spans="1:12">
      <c r="A9" s="22">
        <v>-1</v>
      </c>
      <c r="B9" s="46"/>
      <c r="C9" s="46"/>
      <c r="D9" s="46"/>
      <c r="E9" s="46">
        <f>B3</f>
        <v>1020.2140000000001</v>
      </c>
    </row>
    <row r="10" spans="1:12">
      <c r="A10" s="22">
        <v>0</v>
      </c>
      <c r="B10" s="46">
        <f>$B$6</f>
        <v>125.78314747882591</v>
      </c>
      <c r="C10" s="46">
        <f>B10-D10</f>
        <v>84.97458747882591</v>
      </c>
      <c r="D10" s="46">
        <f>+E9*B4</f>
        <v>40.80856</v>
      </c>
      <c r="E10" s="46">
        <f>E9-C10</f>
        <v>935.23941252117413</v>
      </c>
    </row>
    <row r="11" spans="1:12">
      <c r="A11" s="22">
        <v>1</v>
      </c>
      <c r="B11" s="46">
        <f>$B$6</f>
        <v>125.78314747882591</v>
      </c>
      <c r="C11" s="46">
        <f t="shared" ref="C11:C19" si="0">B11-D11</f>
        <v>88.373570977978943</v>
      </c>
      <c r="D11" s="46">
        <f>+E10*B4</f>
        <v>37.409576500846967</v>
      </c>
      <c r="E11" s="46">
        <f t="shared" ref="E11:E19" si="1">E10-C11</f>
        <v>846.86584154319519</v>
      </c>
    </row>
    <row r="12" spans="1:12">
      <c r="A12" s="22">
        <v>2</v>
      </c>
      <c r="B12" s="46">
        <f>$B$6</f>
        <v>125.78314747882591</v>
      </c>
      <c r="C12" s="46">
        <f t="shared" si="0"/>
        <v>91.908513817098111</v>
      </c>
      <c r="D12" s="46">
        <f>+E11*B4</f>
        <v>33.874633661727806</v>
      </c>
      <c r="E12" s="46">
        <f t="shared" si="1"/>
        <v>754.95732772609711</v>
      </c>
    </row>
    <row r="13" spans="1:12">
      <c r="A13" s="22">
        <v>3</v>
      </c>
      <c r="B13" s="46">
        <f t="shared" ref="B13:B19" si="2">$B$6</f>
        <v>125.78314747882591</v>
      </c>
      <c r="C13" s="46">
        <f t="shared" si="0"/>
        <v>95.584854369782022</v>
      </c>
      <c r="D13" s="46">
        <f>+E12*$B$4</f>
        <v>30.198293109043885</v>
      </c>
      <c r="E13" s="46">
        <f t="shared" si="1"/>
        <v>659.37247335631514</v>
      </c>
    </row>
    <row r="14" spans="1:12">
      <c r="A14" s="22">
        <v>4</v>
      </c>
      <c r="B14" s="46">
        <f t="shared" si="2"/>
        <v>125.78314747882591</v>
      </c>
      <c r="C14" s="46">
        <f t="shared" si="0"/>
        <v>99.408248544573297</v>
      </c>
      <c r="D14" s="46">
        <f t="shared" ref="D14:D19" si="3">+E13*$B$4</f>
        <v>26.374898934252606</v>
      </c>
      <c r="E14" s="46">
        <f t="shared" si="1"/>
        <v>559.96422481174181</v>
      </c>
    </row>
    <row r="15" spans="1:12">
      <c r="A15" s="22">
        <v>5</v>
      </c>
      <c r="B15" s="46">
        <f t="shared" si="2"/>
        <v>125.78314747882591</v>
      </c>
      <c r="C15" s="46">
        <f t="shared" si="0"/>
        <v>103.38457848635623</v>
      </c>
      <c r="D15" s="46">
        <f t="shared" si="3"/>
        <v>22.398568992469674</v>
      </c>
      <c r="E15" s="46">
        <f t="shared" si="1"/>
        <v>456.57964632538557</v>
      </c>
    </row>
    <row r="16" spans="1:12">
      <c r="A16" s="22">
        <v>6</v>
      </c>
      <c r="B16" s="46">
        <f t="shared" si="2"/>
        <v>125.78314747882591</v>
      </c>
      <c r="C16" s="46">
        <f t="shared" si="0"/>
        <v>107.51996162581048</v>
      </c>
      <c r="D16" s="46">
        <f t="shared" si="3"/>
        <v>18.263185853015422</v>
      </c>
      <c r="E16" s="46">
        <f t="shared" si="1"/>
        <v>349.05968469957509</v>
      </c>
    </row>
    <row r="17" spans="1:5">
      <c r="A17" s="22">
        <v>7</v>
      </c>
      <c r="B17" s="46">
        <f t="shared" si="2"/>
        <v>125.78314747882591</v>
      </c>
      <c r="C17" s="46">
        <f t="shared" si="0"/>
        <v>111.82076009084291</v>
      </c>
      <c r="D17" s="46">
        <f t="shared" si="3"/>
        <v>13.962387387983004</v>
      </c>
      <c r="E17" s="46">
        <f t="shared" si="1"/>
        <v>237.23892460873219</v>
      </c>
    </row>
    <row r="18" spans="1:5">
      <c r="A18" s="22">
        <v>8</v>
      </c>
      <c r="B18" s="46">
        <f t="shared" si="2"/>
        <v>125.78314747882591</v>
      </c>
      <c r="C18" s="46">
        <f t="shared" si="0"/>
        <v>116.29359049447662</v>
      </c>
      <c r="D18" s="46">
        <f t="shared" si="3"/>
        <v>9.4895569843492886</v>
      </c>
      <c r="E18" s="46">
        <f t="shared" si="1"/>
        <v>120.94533411425557</v>
      </c>
    </row>
    <row r="19" spans="1:5">
      <c r="A19" s="22">
        <v>9</v>
      </c>
      <c r="B19" s="46">
        <f t="shared" si="2"/>
        <v>125.78314747882591</v>
      </c>
      <c r="C19" s="46">
        <f t="shared" si="0"/>
        <v>120.94533411425569</v>
      </c>
      <c r="D19" s="46">
        <f t="shared" si="3"/>
        <v>4.8378133645702226</v>
      </c>
      <c r="E19" s="46">
        <f t="shared" si="1"/>
        <v>-1.1368683772161603E-13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D506-38AA-9341-8004-FB67286C31D8}">
  <dimension ref="A1:Q14"/>
  <sheetViews>
    <sheetView workbookViewId="0">
      <selection activeCell="F42" sqref="F42"/>
    </sheetView>
  </sheetViews>
  <sheetFormatPr baseColWidth="10" defaultRowHeight="16"/>
  <cols>
    <col min="1" max="1" width="48.33203125" style="25" customWidth="1"/>
    <col min="2" max="2" width="11.83203125" style="25" customWidth="1"/>
    <col min="3" max="3" width="13.1640625" style="25" customWidth="1"/>
    <col min="4" max="4" width="10.83203125" style="25"/>
    <col min="5" max="5" width="13" style="25" customWidth="1"/>
    <col min="6" max="14" width="10.83203125" style="25"/>
    <col min="15" max="15" width="12.1640625" style="25" customWidth="1"/>
    <col min="16" max="16" width="14.33203125" style="25" customWidth="1"/>
    <col min="17" max="17" width="13.1640625" style="25" customWidth="1"/>
    <col min="18" max="16384" width="10.83203125" style="25"/>
  </cols>
  <sheetData>
    <row r="1" spans="1:17">
      <c r="B1" s="65">
        <v>0</v>
      </c>
      <c r="C1" s="53">
        <v>1</v>
      </c>
      <c r="D1" s="53">
        <v>2</v>
      </c>
      <c r="E1" s="53">
        <v>3</v>
      </c>
      <c r="F1" s="53">
        <v>4</v>
      </c>
      <c r="G1" s="53">
        <v>5</v>
      </c>
      <c r="H1" s="53">
        <v>6</v>
      </c>
      <c r="I1" s="53">
        <v>7</v>
      </c>
      <c r="J1" s="53">
        <v>8</v>
      </c>
      <c r="K1" s="53">
        <v>9</v>
      </c>
      <c r="L1" s="53">
        <v>10</v>
      </c>
      <c r="M1" s="53">
        <v>11</v>
      </c>
      <c r="N1" s="53">
        <v>12</v>
      </c>
      <c r="O1" s="53">
        <v>13</v>
      </c>
      <c r="P1" s="53">
        <v>14</v>
      </c>
      <c r="Q1" s="53">
        <v>15</v>
      </c>
    </row>
    <row r="2" spans="1:17">
      <c r="A2" s="26" t="s">
        <v>17</v>
      </c>
      <c r="B2" s="52" t="s">
        <v>123</v>
      </c>
      <c r="C2" s="52" t="str">
        <f>+'RES  INV'!B2</f>
        <v>Año 2020</v>
      </c>
      <c r="D2" s="52" t="str">
        <f>+'RES  INV'!C2</f>
        <v>Año 2021</v>
      </c>
      <c r="E2" s="52" t="str">
        <f>+'RES  INV'!D2</f>
        <v>Año 2022</v>
      </c>
      <c r="F2" s="52" t="str">
        <f>+'RES  INV'!E2</f>
        <v>Año 2023</v>
      </c>
      <c r="G2" s="52" t="str">
        <f>+'RES  INV'!F2</f>
        <v>Año 2024</v>
      </c>
      <c r="H2" s="52" t="str">
        <f>+'RES  INV'!G2</f>
        <v>Año 2025</v>
      </c>
      <c r="I2" s="52" t="str">
        <f>+'RES  INV'!H2</f>
        <v>Año 2026</v>
      </c>
      <c r="J2" s="52" t="str">
        <f>+'RES  INV'!I2</f>
        <v>Año 2027</v>
      </c>
      <c r="K2" s="52" t="str">
        <f>+'RES  INV'!J2</f>
        <v>Año 2028</v>
      </c>
      <c r="L2" s="52" t="str">
        <f>+'RES  INV'!K2</f>
        <v>Año 2029</v>
      </c>
      <c r="M2" s="52" t="str">
        <f>+'RES  INV'!L2</f>
        <v>Año 2030</v>
      </c>
      <c r="N2" s="52" t="str">
        <f>+'RES  INV'!M2</f>
        <v>Año 2031</v>
      </c>
      <c r="O2" s="52" t="str">
        <f>+'RES  INV'!N2</f>
        <v>Año 2032</v>
      </c>
      <c r="P2" s="52" t="str">
        <f>+'RES  INV'!O2</f>
        <v>Año 2033</v>
      </c>
      <c r="Q2" s="52" t="str">
        <f>+'RES  INV'!P2</f>
        <v>Año 2034</v>
      </c>
    </row>
    <row r="3" spans="1:17">
      <c r="A3" s="2" t="s">
        <v>33</v>
      </c>
      <c r="B3" s="2"/>
      <c r="C3" s="2">
        <f>+C4+C5</f>
        <v>615.27599999999995</v>
      </c>
      <c r="D3" s="2">
        <f t="shared" ref="D3:Q3" si="0">+D4+D5</f>
        <v>646.03980000000001</v>
      </c>
      <c r="E3" s="2">
        <f t="shared" si="0"/>
        <v>678.34178999999995</v>
      </c>
      <c r="F3" s="2">
        <f t="shared" si="0"/>
        <v>712.25887950000003</v>
      </c>
      <c r="G3" s="2">
        <f t="shared" si="0"/>
        <v>747.87182347500004</v>
      </c>
      <c r="H3" s="2">
        <f t="shared" si="0"/>
        <v>785.26541464875004</v>
      </c>
      <c r="I3" s="2">
        <f t="shared" si="0"/>
        <v>824.52868538118764</v>
      </c>
      <c r="J3" s="2">
        <f t="shared" si="0"/>
        <v>865.75511965024702</v>
      </c>
      <c r="K3" s="2">
        <f t="shared" si="0"/>
        <v>909.04287563275943</v>
      </c>
      <c r="L3" s="2">
        <f t="shared" si="0"/>
        <v>954.49501941439758</v>
      </c>
      <c r="M3" s="2">
        <f t="shared" si="0"/>
        <v>1002.2197703851175</v>
      </c>
      <c r="N3" s="2">
        <f t="shared" si="0"/>
        <v>1052.3307589043734</v>
      </c>
      <c r="O3" s="2">
        <f t="shared" si="0"/>
        <v>1104.947296849592</v>
      </c>
      <c r="P3" s="2">
        <f t="shared" si="0"/>
        <v>1160.1946616920718</v>
      </c>
      <c r="Q3" s="2">
        <f t="shared" si="0"/>
        <v>1218.2043947766754</v>
      </c>
    </row>
    <row r="4" spans="1:17">
      <c r="A4" s="3" t="s">
        <v>34</v>
      </c>
      <c r="B4" s="3"/>
      <c r="C4" s="3">
        <f>255.69*1.4</f>
        <v>357.96599999999995</v>
      </c>
      <c r="D4" s="3">
        <f>+C4*1.05</f>
        <v>375.86429999999996</v>
      </c>
      <c r="E4" s="3">
        <f t="shared" ref="E4:Q5" si="1">+D4*1.05</f>
        <v>394.65751499999999</v>
      </c>
      <c r="F4" s="3">
        <f t="shared" si="1"/>
        <v>414.39039074999999</v>
      </c>
      <c r="G4" s="3">
        <f t="shared" si="1"/>
        <v>435.10991028749999</v>
      </c>
      <c r="H4" s="3">
        <f t="shared" si="1"/>
        <v>456.865405801875</v>
      </c>
      <c r="I4" s="3">
        <f t="shared" si="1"/>
        <v>479.70867609196875</v>
      </c>
      <c r="J4" s="3">
        <f t="shared" si="1"/>
        <v>503.69410989656723</v>
      </c>
      <c r="K4" s="3">
        <f t="shared" si="1"/>
        <v>528.87881539139562</v>
      </c>
      <c r="L4" s="3">
        <f t="shared" si="1"/>
        <v>555.32275616096547</v>
      </c>
      <c r="M4" s="3">
        <f t="shared" si="1"/>
        <v>583.08889396901372</v>
      </c>
      <c r="N4" s="3">
        <f t="shared" si="1"/>
        <v>612.2433386674644</v>
      </c>
      <c r="O4" s="3">
        <f t="shared" si="1"/>
        <v>642.85550560083766</v>
      </c>
      <c r="P4" s="3">
        <f>+O4*1.05</f>
        <v>674.99828088087952</v>
      </c>
      <c r="Q4" s="3">
        <f t="shared" si="1"/>
        <v>708.7481949249235</v>
      </c>
    </row>
    <row r="5" spans="1:17">
      <c r="A5" s="3" t="s">
        <v>35</v>
      </c>
      <c r="B5" s="3"/>
      <c r="C5" s="4">
        <f>171.54*1.5</f>
        <v>257.31</v>
      </c>
      <c r="D5" s="3">
        <f>+C5*1.05</f>
        <v>270.1755</v>
      </c>
      <c r="E5" s="3">
        <f t="shared" si="1"/>
        <v>283.68427500000001</v>
      </c>
      <c r="F5" s="3">
        <f t="shared" si="1"/>
        <v>297.86848875000004</v>
      </c>
      <c r="G5" s="3">
        <f t="shared" si="1"/>
        <v>312.76191318750006</v>
      </c>
      <c r="H5" s="3">
        <f t="shared" si="1"/>
        <v>328.4000088468751</v>
      </c>
      <c r="I5" s="3">
        <f t="shared" si="1"/>
        <v>344.82000928921889</v>
      </c>
      <c r="J5" s="3">
        <f t="shared" si="1"/>
        <v>362.06100975367985</v>
      </c>
      <c r="K5" s="3">
        <f t="shared" si="1"/>
        <v>380.16406024136387</v>
      </c>
      <c r="L5" s="3">
        <f t="shared" si="1"/>
        <v>399.17226325343211</v>
      </c>
      <c r="M5" s="3">
        <f t="shared" si="1"/>
        <v>419.13087641610372</v>
      </c>
      <c r="N5" s="3">
        <f t="shared" si="1"/>
        <v>440.08742023690894</v>
      </c>
      <c r="O5" s="3">
        <f t="shared" si="1"/>
        <v>462.09179124875442</v>
      </c>
      <c r="P5" s="3">
        <f t="shared" si="1"/>
        <v>485.19638081119217</v>
      </c>
      <c r="Q5" s="3">
        <f t="shared" si="1"/>
        <v>509.45619985175182</v>
      </c>
    </row>
    <row r="6" spans="1:17">
      <c r="A6" s="2" t="s">
        <v>37</v>
      </c>
      <c r="B6" s="2"/>
      <c r="C6" s="2">
        <f>SUM(C7:C9)</f>
        <v>436.37030000000004</v>
      </c>
      <c r="D6" s="2">
        <f t="shared" ref="D6:Q6" si="2">SUM(D7:D9)</f>
        <v>453.6308150000001</v>
      </c>
      <c r="E6" s="2">
        <f t="shared" si="2"/>
        <v>471.75435575000012</v>
      </c>
      <c r="F6" s="2">
        <f t="shared" si="2"/>
        <v>490.78407353750015</v>
      </c>
      <c r="G6" s="2">
        <f t="shared" si="2"/>
        <v>510.76527721437515</v>
      </c>
      <c r="H6" s="2">
        <f t="shared" si="2"/>
        <v>531.74554107509391</v>
      </c>
      <c r="I6" s="2">
        <f t="shared" si="2"/>
        <v>553.77481812884866</v>
      </c>
      <c r="J6" s="2">
        <f t="shared" si="2"/>
        <v>576.90555903529116</v>
      </c>
      <c r="K6" s="2">
        <f t="shared" si="2"/>
        <v>601.19283698705567</v>
      </c>
      <c r="L6" s="2">
        <f t="shared" si="2"/>
        <v>626.69447883640851</v>
      </c>
      <c r="M6" s="2">
        <f t="shared" si="2"/>
        <v>653.47120277822887</v>
      </c>
      <c r="N6" s="2">
        <f t="shared" si="2"/>
        <v>681.58676291714039</v>
      </c>
      <c r="O6" s="2">
        <f t="shared" si="2"/>
        <v>711.10810106299743</v>
      </c>
      <c r="P6" s="2">
        <f t="shared" si="2"/>
        <v>742.10550611614735</v>
      </c>
      <c r="Q6" s="2">
        <f t="shared" si="2"/>
        <v>774.65278142195473</v>
      </c>
    </row>
    <row r="7" spans="1:17">
      <c r="A7" s="3" t="s">
        <v>36</v>
      </c>
      <c r="B7" s="3"/>
      <c r="C7" s="4">
        <f>148.96*1.1</f>
        <v>163.85600000000002</v>
      </c>
      <c r="D7" s="3">
        <f>+C7*1.05</f>
        <v>172.04880000000003</v>
      </c>
      <c r="E7" s="3">
        <f t="shared" ref="E7:P7" si="3">+D7*1.05</f>
        <v>180.65124000000003</v>
      </c>
      <c r="F7" s="3">
        <f t="shared" si="3"/>
        <v>189.68380200000004</v>
      </c>
      <c r="G7" s="3">
        <f t="shared" si="3"/>
        <v>199.16799210000005</v>
      </c>
      <c r="H7" s="3">
        <f t="shared" si="3"/>
        <v>209.12639170500006</v>
      </c>
      <c r="I7" s="3">
        <f t="shared" si="3"/>
        <v>219.58271129025007</v>
      </c>
      <c r="J7" s="3">
        <f t="shared" si="3"/>
        <v>230.56184685476259</v>
      </c>
      <c r="K7" s="3">
        <f t="shared" si="3"/>
        <v>242.08993919750074</v>
      </c>
      <c r="L7" s="3">
        <f t="shared" si="3"/>
        <v>254.19443615737578</v>
      </c>
      <c r="M7" s="3">
        <f t="shared" si="3"/>
        <v>266.90415796524456</v>
      </c>
      <c r="N7" s="3">
        <f t="shared" si="3"/>
        <v>280.2493658635068</v>
      </c>
      <c r="O7" s="3">
        <f t="shared" si="3"/>
        <v>294.26183415668214</v>
      </c>
      <c r="P7" s="3">
        <f t="shared" si="3"/>
        <v>308.97492586451625</v>
      </c>
      <c r="Q7" s="3">
        <f>+P7*1.05</f>
        <v>324.42367215774209</v>
      </c>
    </row>
    <row r="8" spans="1:17">
      <c r="A8" s="4" t="s">
        <v>11</v>
      </c>
      <c r="B8" s="4"/>
      <c r="C8" s="4">
        <f>+'RES  INV'!B8</f>
        <v>91.160000000000011</v>
      </c>
      <c r="D8" s="4">
        <f>+'RES  INV'!C8</f>
        <v>91.160000000000011</v>
      </c>
      <c r="E8" s="4">
        <f>+'RES  INV'!D8</f>
        <v>91.160000000000011</v>
      </c>
      <c r="F8" s="4">
        <f>+'RES  INV'!E8</f>
        <v>91.160000000000011</v>
      </c>
      <c r="G8" s="4">
        <f>+'RES  INV'!F8</f>
        <v>91.160000000000011</v>
      </c>
      <c r="H8" s="4">
        <f>+'RES  INV'!G8</f>
        <v>91.160000000000011</v>
      </c>
      <c r="I8" s="4">
        <f>+'RES  INV'!H8</f>
        <v>91.160000000000011</v>
      </c>
      <c r="J8" s="4">
        <f>+'RES  INV'!I8</f>
        <v>91.160000000000011</v>
      </c>
      <c r="K8" s="4">
        <f>+'RES  INV'!J8</f>
        <v>91.160000000000011</v>
      </c>
      <c r="L8" s="4">
        <f>+'RES  INV'!K8</f>
        <v>91.160000000000011</v>
      </c>
      <c r="M8" s="4">
        <f>+'RES  INV'!L8</f>
        <v>91.160000000000011</v>
      </c>
      <c r="N8" s="4">
        <f>+'RES  INV'!M8</f>
        <v>91.160000000000011</v>
      </c>
      <c r="O8" s="4">
        <f>+'RES  INV'!N8</f>
        <v>91.160000000000011</v>
      </c>
      <c r="P8" s="4">
        <f>+'RES  INV'!O8</f>
        <v>91.160000000000011</v>
      </c>
      <c r="Q8" s="4">
        <f>+'RES  INV'!P8</f>
        <v>91.160000000000011</v>
      </c>
    </row>
    <row r="9" spans="1:17">
      <c r="A9" s="3" t="s">
        <v>39</v>
      </c>
      <c r="B9" s="3"/>
      <c r="C9" s="4">
        <f>169.49*1.07</f>
        <v>181.35430000000002</v>
      </c>
      <c r="D9" s="3">
        <f>+C9*1.05</f>
        <v>190.42201500000004</v>
      </c>
      <c r="E9" s="3">
        <f t="shared" ref="E9:Q9" si="4">+D9*1.05</f>
        <v>199.94311575000006</v>
      </c>
      <c r="F9" s="3">
        <f t="shared" si="4"/>
        <v>209.94027153750008</v>
      </c>
      <c r="G9" s="3">
        <f t="shared" si="4"/>
        <v>220.4372851143751</v>
      </c>
      <c r="H9" s="3">
        <f t="shared" si="4"/>
        <v>231.45914937009385</v>
      </c>
      <c r="I9" s="3">
        <f t="shared" si="4"/>
        <v>243.03210683859857</v>
      </c>
      <c r="J9" s="3">
        <f t="shared" si="4"/>
        <v>255.18371218052852</v>
      </c>
      <c r="K9" s="3">
        <f t="shared" si="4"/>
        <v>267.94289778955493</v>
      </c>
      <c r="L9" s="3">
        <f t="shared" si="4"/>
        <v>281.34004267903271</v>
      </c>
      <c r="M9" s="3">
        <f t="shared" si="4"/>
        <v>295.40704481298434</v>
      </c>
      <c r="N9" s="3">
        <f t="shared" si="4"/>
        <v>310.17739705363357</v>
      </c>
      <c r="O9" s="3">
        <f t="shared" si="4"/>
        <v>325.68626690631527</v>
      </c>
      <c r="P9" s="3">
        <f t="shared" si="4"/>
        <v>341.97058025163102</v>
      </c>
      <c r="Q9" s="3">
        <f t="shared" si="4"/>
        <v>359.06910926421261</v>
      </c>
    </row>
    <row r="10" spans="1:17">
      <c r="A10" s="2" t="s">
        <v>12</v>
      </c>
      <c r="B10" s="2"/>
      <c r="C10" s="2">
        <f>+C3-C6</f>
        <v>178.90569999999991</v>
      </c>
      <c r="D10" s="2">
        <f t="shared" ref="D10:Q10" si="5">+D3-D6</f>
        <v>192.40898499999992</v>
      </c>
      <c r="E10" s="2">
        <f t="shared" si="5"/>
        <v>206.58743424999983</v>
      </c>
      <c r="F10" s="2">
        <f t="shared" si="5"/>
        <v>221.47480596249989</v>
      </c>
      <c r="G10" s="2">
        <f t="shared" si="5"/>
        <v>237.1065462606249</v>
      </c>
      <c r="H10" s="2">
        <f t="shared" si="5"/>
        <v>253.51987357365613</v>
      </c>
      <c r="I10" s="2">
        <f t="shared" si="5"/>
        <v>270.75386725233898</v>
      </c>
      <c r="J10" s="2">
        <f t="shared" si="5"/>
        <v>288.84956061495586</v>
      </c>
      <c r="K10" s="2">
        <f t="shared" si="5"/>
        <v>307.85003864570376</v>
      </c>
      <c r="L10" s="2">
        <f t="shared" si="5"/>
        <v>327.80054057798907</v>
      </c>
      <c r="M10" s="2">
        <f t="shared" si="5"/>
        <v>348.74856760688863</v>
      </c>
      <c r="N10" s="2">
        <f t="shared" si="5"/>
        <v>370.74399598723301</v>
      </c>
      <c r="O10" s="2">
        <f t="shared" si="5"/>
        <v>393.83919578659459</v>
      </c>
      <c r="P10" s="2">
        <f t="shared" si="5"/>
        <v>418.08915557592445</v>
      </c>
      <c r="Q10" s="2">
        <f t="shared" si="5"/>
        <v>443.55161335472064</v>
      </c>
    </row>
    <row r="11" spans="1:17">
      <c r="A11" s="4" t="s">
        <v>13</v>
      </c>
      <c r="B11" s="4">
        <f>+Finc!D10</f>
        <v>40.80856</v>
      </c>
      <c r="C11" s="4">
        <f>+Finc!D11</f>
        <v>37.409576500846967</v>
      </c>
      <c r="D11" s="4">
        <f>+Finc!D12</f>
        <v>33.874633661727806</v>
      </c>
      <c r="E11" s="4">
        <f>+Finc!D13</f>
        <v>30.198293109043885</v>
      </c>
      <c r="F11" s="4">
        <f>+Finc!D14</f>
        <v>26.374898934252606</v>
      </c>
      <c r="G11" s="4">
        <f>+Finc!D15</f>
        <v>22.398568992469674</v>
      </c>
      <c r="H11" s="4">
        <f>+Finc!D16</f>
        <v>18.263185853015422</v>
      </c>
      <c r="I11" s="4">
        <f>+Finc!D17</f>
        <v>13.962387387983004</v>
      </c>
      <c r="J11" s="4">
        <f>+Finc!D18</f>
        <v>9.4895569843492886</v>
      </c>
      <c r="K11" s="4">
        <f>+Finc!D19</f>
        <v>4.8378133645702226</v>
      </c>
      <c r="L11" s="3"/>
      <c r="M11" s="3"/>
      <c r="N11" s="3"/>
      <c r="O11" s="3"/>
      <c r="P11" s="3"/>
      <c r="Q11" s="3"/>
    </row>
    <row r="12" spans="1:17">
      <c r="A12" s="2" t="s">
        <v>14</v>
      </c>
      <c r="B12" s="2"/>
      <c r="C12" s="2">
        <f>+C10-C11</f>
        <v>141.49612349915293</v>
      </c>
      <c r="D12" s="2">
        <f t="shared" ref="D12:Q12" si="6">+D10-D11</f>
        <v>158.5343513382721</v>
      </c>
      <c r="E12" s="2">
        <f t="shared" si="6"/>
        <v>176.38914114095596</v>
      </c>
      <c r="F12" s="2">
        <f t="shared" si="6"/>
        <v>195.09990702824729</v>
      </c>
      <c r="G12" s="2">
        <f t="shared" si="6"/>
        <v>214.70797726815522</v>
      </c>
      <c r="H12" s="2">
        <f t="shared" si="6"/>
        <v>235.25668772064071</v>
      </c>
      <c r="I12" s="2">
        <f t="shared" si="6"/>
        <v>256.79147986435595</v>
      </c>
      <c r="J12" s="2">
        <f t="shared" si="6"/>
        <v>279.36000363060657</v>
      </c>
      <c r="K12" s="2">
        <f t="shared" si="6"/>
        <v>303.01222528113357</v>
      </c>
      <c r="L12" s="2">
        <f>+L10-L11</f>
        <v>327.80054057798907</v>
      </c>
      <c r="M12" s="2">
        <f t="shared" si="6"/>
        <v>348.74856760688863</v>
      </c>
      <c r="N12" s="2">
        <f t="shared" si="6"/>
        <v>370.74399598723301</v>
      </c>
      <c r="O12" s="2">
        <f t="shared" si="6"/>
        <v>393.83919578659459</v>
      </c>
      <c r="P12" s="2">
        <f t="shared" si="6"/>
        <v>418.08915557592445</v>
      </c>
      <c r="Q12" s="2">
        <f t="shared" si="6"/>
        <v>443.55161335472064</v>
      </c>
    </row>
    <row r="13" spans="1:17">
      <c r="A13" s="4" t="s">
        <v>15</v>
      </c>
      <c r="B13" s="4"/>
      <c r="C13" s="4">
        <f>IF(C12&lt;0,0,0.25*C12)</f>
        <v>35.374030874788232</v>
      </c>
      <c r="D13" s="4">
        <f t="shared" ref="D13:Q13" si="7">IF(D12&lt;0,0,0.25*D12)</f>
        <v>39.633587834568026</v>
      </c>
      <c r="E13" s="4">
        <f t="shared" si="7"/>
        <v>44.097285285238989</v>
      </c>
      <c r="F13" s="4">
        <f t="shared" si="7"/>
        <v>48.774976757061822</v>
      </c>
      <c r="G13" s="4">
        <f t="shared" si="7"/>
        <v>53.676994317038805</v>
      </c>
      <c r="H13" s="4">
        <f t="shared" si="7"/>
        <v>58.814171930160178</v>
      </c>
      <c r="I13" s="4">
        <f t="shared" si="7"/>
        <v>64.197869966088987</v>
      </c>
      <c r="J13" s="4">
        <f t="shared" si="7"/>
        <v>69.840000907651643</v>
      </c>
      <c r="K13" s="4">
        <f t="shared" si="7"/>
        <v>75.753056320283392</v>
      </c>
      <c r="L13" s="4">
        <f t="shared" si="7"/>
        <v>81.950135144497267</v>
      </c>
      <c r="M13" s="4">
        <f t="shared" si="7"/>
        <v>87.187141901722157</v>
      </c>
      <c r="N13" s="4">
        <f t="shared" si="7"/>
        <v>92.685998996808252</v>
      </c>
      <c r="O13" s="4">
        <f t="shared" si="7"/>
        <v>98.459798946648647</v>
      </c>
      <c r="P13" s="4">
        <f t="shared" si="7"/>
        <v>104.52228889398111</v>
      </c>
      <c r="Q13" s="4">
        <f t="shared" si="7"/>
        <v>110.88790333868016</v>
      </c>
    </row>
    <row r="14" spans="1:17">
      <c r="A14" s="2" t="s">
        <v>16</v>
      </c>
      <c r="B14" s="2"/>
      <c r="C14" s="2">
        <f>+C12-C13</f>
        <v>106.1220926243647</v>
      </c>
      <c r="D14" s="2">
        <f t="shared" ref="D14:Q14" si="8">+D12-D13</f>
        <v>118.90076350370407</v>
      </c>
      <c r="E14" s="2">
        <f t="shared" si="8"/>
        <v>132.29185585571696</v>
      </c>
      <c r="F14" s="2">
        <f t="shared" si="8"/>
        <v>146.32493027118545</v>
      </c>
      <c r="G14" s="2">
        <f t="shared" si="8"/>
        <v>161.03098295111641</v>
      </c>
      <c r="H14" s="2">
        <f t="shared" si="8"/>
        <v>176.44251579048054</v>
      </c>
      <c r="I14" s="2">
        <f t="shared" si="8"/>
        <v>192.59360989826695</v>
      </c>
      <c r="J14" s="2">
        <f t="shared" si="8"/>
        <v>209.52000272295493</v>
      </c>
      <c r="K14" s="2">
        <f t="shared" si="8"/>
        <v>227.25916896085016</v>
      </c>
      <c r="L14" s="2">
        <f t="shared" si="8"/>
        <v>245.8504054334918</v>
      </c>
      <c r="M14" s="2">
        <f t="shared" si="8"/>
        <v>261.56142570516647</v>
      </c>
      <c r="N14" s="2">
        <f t="shared" si="8"/>
        <v>278.05799699042473</v>
      </c>
      <c r="O14" s="2">
        <f t="shared" si="8"/>
        <v>295.37939683994591</v>
      </c>
      <c r="P14" s="2">
        <f t="shared" si="8"/>
        <v>313.56686668194334</v>
      </c>
      <c r="Q14" s="2">
        <f t="shared" si="8"/>
        <v>332.66371001604045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D40E-7483-A94E-80E7-44E1D80ACA12}">
  <dimension ref="A1:T21"/>
  <sheetViews>
    <sheetView workbookViewId="0">
      <selection activeCell="C25" sqref="C25"/>
    </sheetView>
  </sheetViews>
  <sheetFormatPr baseColWidth="10" defaultRowHeight="16"/>
  <cols>
    <col min="1" max="1" width="35.6640625" customWidth="1"/>
    <col min="2" max="2" width="11" customWidth="1"/>
  </cols>
  <sheetData>
    <row r="1" spans="1:20">
      <c r="A1" s="30"/>
      <c r="B1" s="31" t="s">
        <v>86</v>
      </c>
      <c r="C1" s="31" t="s">
        <v>59</v>
      </c>
      <c r="D1" s="31" t="s">
        <v>60</v>
      </c>
      <c r="E1" s="31" t="s">
        <v>61</v>
      </c>
      <c r="F1" s="31" t="s">
        <v>62</v>
      </c>
      <c r="G1" s="31" t="s">
        <v>63</v>
      </c>
      <c r="H1" s="31" t="s">
        <v>64</v>
      </c>
      <c r="I1" s="31" t="s">
        <v>65</v>
      </c>
      <c r="J1" s="31" t="s">
        <v>66</v>
      </c>
      <c r="K1" s="31" t="s">
        <v>67</v>
      </c>
      <c r="L1" s="31" t="s">
        <v>79</v>
      </c>
      <c r="M1" s="31" t="s">
        <v>80</v>
      </c>
      <c r="N1" s="31" t="s">
        <v>81</v>
      </c>
      <c r="O1" s="31" t="s">
        <v>82</v>
      </c>
      <c r="P1" s="31" t="s">
        <v>83</v>
      </c>
      <c r="Q1" s="31" t="s">
        <v>84</v>
      </c>
      <c r="R1" s="31" t="s">
        <v>85</v>
      </c>
      <c r="S1" s="31"/>
      <c r="T1" s="31"/>
    </row>
    <row r="2" spans="1:20">
      <c r="A2" s="32" t="s">
        <v>68</v>
      </c>
      <c r="B2" s="33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</row>
    <row r="3" spans="1:20">
      <c r="A3" s="1" t="s">
        <v>104</v>
      </c>
      <c r="B3" s="25"/>
      <c r="C3" s="25"/>
      <c r="D3" s="25">
        <f>+'RES INV CFINC'!C10</f>
        <v>178.90569999999991</v>
      </c>
      <c r="E3" s="25">
        <f>+'RES INV CFINC'!D10</f>
        <v>192.40898499999992</v>
      </c>
      <c r="F3" s="25">
        <f>+'RES INV CFINC'!E10</f>
        <v>206.58743424999983</v>
      </c>
      <c r="G3" s="25">
        <f>+'RES INV CFINC'!F10</f>
        <v>221.47480596249989</v>
      </c>
      <c r="H3" s="25">
        <f>+'RES INV CFINC'!G10</f>
        <v>237.1065462606249</v>
      </c>
      <c r="I3" s="25">
        <f>+'RES INV CFINC'!H10</f>
        <v>253.51987357365613</v>
      </c>
      <c r="J3" s="25">
        <f>+'RES INV CFINC'!I10</f>
        <v>270.75386725233898</v>
      </c>
      <c r="K3" s="25">
        <f>+'RES INV CFINC'!J10</f>
        <v>288.84956061495586</v>
      </c>
      <c r="L3" s="25">
        <f>+'RES INV CFINC'!K10</f>
        <v>307.85003864570376</v>
      </c>
      <c r="M3" s="25">
        <f>+'RES INV CFINC'!L10</f>
        <v>327.80054057798907</v>
      </c>
      <c r="N3" s="25">
        <f>+'RES INV CFINC'!M10</f>
        <v>348.74856760688863</v>
      </c>
      <c r="O3" s="25">
        <f>+'RES INV CFINC'!N10</f>
        <v>370.74399598723301</v>
      </c>
      <c r="P3" s="25">
        <f>+'RES INV CFINC'!O10</f>
        <v>393.83919578659459</v>
      </c>
      <c r="Q3" s="25">
        <f>+'RES INV CFINC'!P10</f>
        <v>418.08915557592445</v>
      </c>
      <c r="R3" s="25">
        <f>+'RES INV CFINC'!Q10</f>
        <v>443.55161335472064</v>
      </c>
    </row>
    <row r="4" spans="1:20">
      <c r="A4" s="1" t="s">
        <v>11</v>
      </c>
      <c r="B4" s="25"/>
      <c r="C4" s="25"/>
      <c r="D4" s="25">
        <f>+'RES INV CFINC'!C8</f>
        <v>91.160000000000011</v>
      </c>
      <c r="E4" s="25">
        <f>+'RES INV CFINC'!D8</f>
        <v>91.160000000000011</v>
      </c>
      <c r="F4" s="25">
        <f>+'RES INV CFINC'!E8</f>
        <v>91.160000000000011</v>
      </c>
      <c r="G4" s="25">
        <f>+'RES INV CFINC'!F8</f>
        <v>91.160000000000011</v>
      </c>
      <c r="H4" s="25">
        <f>+'RES INV CFINC'!G8</f>
        <v>91.160000000000011</v>
      </c>
      <c r="I4" s="25">
        <f>+'RES INV CFINC'!H8</f>
        <v>91.160000000000011</v>
      </c>
      <c r="J4" s="25">
        <f>+'RES INV CFINC'!I8</f>
        <v>91.160000000000011</v>
      </c>
      <c r="K4" s="25">
        <f>+'RES INV CFINC'!J8</f>
        <v>91.160000000000011</v>
      </c>
      <c r="L4" s="25">
        <f>+'RES INV CFINC'!K8</f>
        <v>91.160000000000011</v>
      </c>
      <c r="M4" s="25">
        <f>+'RES INV CFINC'!L8</f>
        <v>91.160000000000011</v>
      </c>
      <c r="N4" s="25">
        <f>+'RES INV CFINC'!M8</f>
        <v>91.160000000000011</v>
      </c>
      <c r="O4" s="25">
        <f>+'RES INV CFINC'!N8</f>
        <v>91.160000000000011</v>
      </c>
      <c r="P4" s="25">
        <f>+'RES INV CFINC'!O8</f>
        <v>91.160000000000011</v>
      </c>
      <c r="Q4" s="25">
        <f>+'RES INV CFINC'!P8</f>
        <v>91.160000000000011</v>
      </c>
      <c r="R4" s="25">
        <f>+'RES INV CFINC'!Q8</f>
        <v>91.160000000000011</v>
      </c>
    </row>
    <row r="5" spans="1:20">
      <c r="A5" s="1" t="s">
        <v>15</v>
      </c>
      <c r="B5" s="25"/>
      <c r="C5" s="25"/>
      <c r="D5" s="25">
        <f>-'RES INV CFINC'!C13</f>
        <v>-35.374030874788232</v>
      </c>
      <c r="E5" s="25">
        <f>-'RES INV CFINC'!D13</f>
        <v>-39.633587834568026</v>
      </c>
      <c r="F5" s="25">
        <f>-'RES INV CFINC'!E13</f>
        <v>-44.097285285238989</v>
      </c>
      <c r="G5" s="25">
        <f>-'RES INV CFINC'!F13</f>
        <v>-48.774976757061822</v>
      </c>
      <c r="H5" s="25">
        <f>-'RES INV CFINC'!G13</f>
        <v>-53.676994317038805</v>
      </c>
      <c r="I5" s="25">
        <f>-'RES INV CFINC'!H13</f>
        <v>-58.814171930160178</v>
      </c>
      <c r="J5" s="25">
        <f>-'RES INV CFINC'!I13</f>
        <v>-64.197869966088987</v>
      </c>
      <c r="K5" s="25">
        <f>-'RES INV CFINC'!J13</f>
        <v>-69.840000907651643</v>
      </c>
      <c r="L5" s="25">
        <f>-'RES INV CFINC'!K13</f>
        <v>-75.753056320283392</v>
      </c>
      <c r="M5" s="25">
        <f>-'RES INV CFINC'!L13</f>
        <v>-81.950135144497267</v>
      </c>
      <c r="N5" s="25">
        <f>-'RES INV CFINC'!M13</f>
        <v>-87.187141901722157</v>
      </c>
      <c r="O5" s="25">
        <f>-'RES INV CFINC'!N13</f>
        <v>-92.685998996808252</v>
      </c>
      <c r="P5" s="25">
        <f>-'RES INV CFINC'!O13</f>
        <v>-98.459798946648647</v>
      </c>
      <c r="Q5" s="25">
        <f>-'RES INV CFINC'!P13</f>
        <v>-104.52228889398111</v>
      </c>
      <c r="R5" s="25">
        <f>-'RES INV CFINC'!Q13</f>
        <v>-110.88790333868016</v>
      </c>
    </row>
    <row r="6" spans="1:20">
      <c r="A6" s="1" t="s">
        <v>13</v>
      </c>
      <c r="B6" s="25"/>
      <c r="C6" s="25">
        <f>-'RES INV CFINC'!B11</f>
        <v>-40.80856</v>
      </c>
      <c r="D6" s="25">
        <f>-'RES INV CFINC'!C11</f>
        <v>-37.409576500846967</v>
      </c>
      <c r="E6" s="25">
        <f>-'RES INV CFINC'!D11</f>
        <v>-33.874633661727806</v>
      </c>
      <c r="F6" s="25">
        <f>-'RES INV CFINC'!E11</f>
        <v>-30.198293109043885</v>
      </c>
      <c r="G6" s="25">
        <f>-'RES INV CFINC'!F11</f>
        <v>-26.374898934252606</v>
      </c>
      <c r="H6" s="25">
        <f>-'RES INV CFINC'!G11</f>
        <v>-22.398568992469674</v>
      </c>
      <c r="I6" s="25">
        <f>-'RES INV CFINC'!H11</f>
        <v>-18.263185853015422</v>
      </c>
      <c r="J6" s="25">
        <f>-'RES INV CFINC'!I11</f>
        <v>-13.962387387983004</v>
      </c>
      <c r="K6" s="25">
        <f>-'RES INV CFINC'!J11</f>
        <v>-9.4895569843492886</v>
      </c>
      <c r="L6" s="25">
        <f>-'RES INV CFINC'!K11</f>
        <v>-4.8378133645702226</v>
      </c>
      <c r="M6" s="25">
        <f>-'RES INV CFINC'!L11</f>
        <v>0</v>
      </c>
      <c r="N6" s="25">
        <f>-'RES INV CFINC'!M11</f>
        <v>0</v>
      </c>
      <c r="O6" s="25">
        <f>-'RES INV CFINC'!N11</f>
        <v>0</v>
      </c>
      <c r="P6" s="25">
        <f>-'RES INV CFINC'!O11</f>
        <v>0</v>
      </c>
      <c r="Q6" s="25">
        <f>-'RES INV CFINC'!P11</f>
        <v>0</v>
      </c>
      <c r="R6" s="25">
        <f>-'RES INV CFINC'!Q11</f>
        <v>0</v>
      </c>
    </row>
    <row r="7" spans="1:20" s="21" customFormat="1">
      <c r="A7" s="66" t="s">
        <v>69</v>
      </c>
      <c r="B7" s="67">
        <f>SUM(B3:B6)</f>
        <v>0</v>
      </c>
      <c r="C7" s="67">
        <f>SUM(C3:C6)</f>
        <v>-40.80856</v>
      </c>
      <c r="D7" s="67">
        <f>SUM(D3:D6)</f>
        <v>197.28209262436474</v>
      </c>
      <c r="E7" s="67">
        <f t="shared" ref="E7:R7" si="0">SUM(E3:E6)</f>
        <v>210.0607635037041</v>
      </c>
      <c r="F7" s="67">
        <f t="shared" si="0"/>
        <v>223.45185585571699</v>
      </c>
      <c r="G7" s="67">
        <f t="shared" si="0"/>
        <v>237.48493027118548</v>
      </c>
      <c r="H7" s="67">
        <f t="shared" si="0"/>
        <v>252.19098295111644</v>
      </c>
      <c r="I7" s="67">
        <f t="shared" si="0"/>
        <v>267.60251579048054</v>
      </c>
      <c r="J7" s="67">
        <f t="shared" si="0"/>
        <v>283.75360989826697</v>
      </c>
      <c r="K7" s="67">
        <f t="shared" si="0"/>
        <v>300.68000272295495</v>
      </c>
      <c r="L7" s="67">
        <f t="shared" si="0"/>
        <v>318.41916896085019</v>
      </c>
      <c r="M7" s="67">
        <f t="shared" si="0"/>
        <v>337.01040543349183</v>
      </c>
      <c r="N7" s="67">
        <f t="shared" si="0"/>
        <v>352.7214257051665</v>
      </c>
      <c r="O7" s="67">
        <f t="shared" si="0"/>
        <v>369.21799699042481</v>
      </c>
      <c r="P7" s="67">
        <f t="shared" si="0"/>
        <v>386.53939683994599</v>
      </c>
      <c r="Q7" s="67">
        <f t="shared" si="0"/>
        <v>404.72686668194336</v>
      </c>
      <c r="R7" s="67">
        <f t="shared" si="0"/>
        <v>423.82371001604042</v>
      </c>
    </row>
    <row r="8" spans="1:20">
      <c r="A8" s="32" t="s">
        <v>70</v>
      </c>
      <c r="B8" s="33"/>
      <c r="C8" s="25"/>
      <c r="D8" s="25"/>
      <c r="E8" s="25"/>
      <c r="F8" s="25"/>
      <c r="G8" s="25"/>
      <c r="H8" s="25"/>
      <c r="I8" s="25"/>
      <c r="J8" s="25"/>
      <c r="K8" s="1"/>
      <c r="L8" s="1"/>
      <c r="M8" s="1"/>
      <c r="N8" s="1"/>
      <c r="O8" s="1"/>
      <c r="P8" s="1"/>
      <c r="Q8" s="1"/>
      <c r="R8" s="1"/>
    </row>
    <row r="9" spans="1:20">
      <c r="A9" s="1" t="s">
        <v>71</v>
      </c>
      <c r="B9" s="25"/>
      <c r="C9" s="1">
        <f>+'RES  INV'!B37</f>
        <v>-48.000899999999994</v>
      </c>
      <c r="D9" s="25"/>
      <c r="E9" s="25"/>
      <c r="F9" s="25"/>
      <c r="G9" s="25"/>
      <c r="H9" s="25"/>
      <c r="I9" s="25"/>
      <c r="J9" s="25"/>
      <c r="K9" s="1"/>
      <c r="L9" s="1"/>
      <c r="M9" s="1"/>
      <c r="N9" s="1"/>
      <c r="O9" s="1"/>
      <c r="P9" s="1"/>
      <c r="Q9" s="1"/>
      <c r="R9" s="1"/>
    </row>
    <row r="10" spans="1:20">
      <c r="A10" s="1" t="s">
        <v>72</v>
      </c>
      <c r="B10" s="25"/>
      <c r="C10" s="25"/>
      <c r="D10" s="25">
        <f>+'RES  INV'!C37</f>
        <v>-75.054300000000012</v>
      </c>
      <c r="E10" s="25">
        <f>+'RES  INV'!D37</f>
        <v>-6.1527600000000149</v>
      </c>
      <c r="F10" s="25">
        <f>+'RES  INV'!E37</f>
        <v>-6.4603979999999694</v>
      </c>
      <c r="G10" s="25">
        <f>+'RES  INV'!F37</f>
        <v>-6.7834179000000177</v>
      </c>
      <c r="H10" s="25">
        <f>+'RES  INV'!G37</f>
        <v>-7.1225887950000129</v>
      </c>
      <c r="I10" s="25">
        <f>+'RES  INV'!H37</f>
        <v>-7.478718234750005</v>
      </c>
      <c r="J10" s="25">
        <f>+'RES  INV'!I37</f>
        <v>-7.8526541464875095</v>
      </c>
      <c r="K10" s="25">
        <f>+'RES  INV'!J37</f>
        <v>-8.2452868538118764</v>
      </c>
      <c r="L10" s="25">
        <f>+'RES  INV'!K37</f>
        <v>-8.6575511965024816</v>
      </c>
      <c r="M10" s="25">
        <f>+'RES  INV'!L37</f>
        <v>-9.0904287563276398</v>
      </c>
      <c r="N10" s="25">
        <f>+'RES  INV'!M37</f>
        <v>-9.5449501941439792</v>
      </c>
      <c r="O10" s="25">
        <f>+'RES  INV'!N37</f>
        <v>-10.022197703851191</v>
      </c>
      <c r="P10" s="25">
        <f>+'RES  INV'!O37</f>
        <v>-10.523307589043725</v>
      </c>
      <c r="Q10" s="25">
        <f>+'RES  INV'!P37</f>
        <v>-11.049472968495962</v>
      </c>
      <c r="R10" s="25">
        <f>+'RES  INV'!Q37</f>
        <v>-11.601946616920713</v>
      </c>
    </row>
    <row r="11" spans="1:20">
      <c r="A11" s="1" t="s">
        <v>73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f>+'RES  INV'!Q36</f>
        <v>243.6408789553351</v>
      </c>
    </row>
    <row r="12" spans="1:20" s="21" customFormat="1">
      <c r="A12" s="66" t="s">
        <v>74</v>
      </c>
      <c r="B12" s="67">
        <f>+B9+B10+B11</f>
        <v>0</v>
      </c>
      <c r="C12" s="67">
        <f t="shared" ref="C12:R12" si="1">+C9+C10+C11</f>
        <v>-48.000899999999994</v>
      </c>
      <c r="D12" s="67">
        <f t="shared" si="1"/>
        <v>-75.054300000000012</v>
      </c>
      <c r="E12" s="67">
        <f t="shared" si="1"/>
        <v>-6.1527600000000149</v>
      </c>
      <c r="F12" s="67">
        <f t="shared" si="1"/>
        <v>-6.4603979999999694</v>
      </c>
      <c r="G12" s="67">
        <f t="shared" si="1"/>
        <v>-6.7834179000000177</v>
      </c>
      <c r="H12" s="67">
        <f t="shared" si="1"/>
        <v>-7.1225887950000129</v>
      </c>
      <c r="I12" s="67">
        <f t="shared" si="1"/>
        <v>-7.478718234750005</v>
      </c>
      <c r="J12" s="67">
        <f t="shared" si="1"/>
        <v>-7.8526541464875095</v>
      </c>
      <c r="K12" s="67">
        <f t="shared" si="1"/>
        <v>-8.2452868538118764</v>
      </c>
      <c r="L12" s="67">
        <f t="shared" si="1"/>
        <v>-8.6575511965024816</v>
      </c>
      <c r="M12" s="67">
        <f t="shared" si="1"/>
        <v>-9.0904287563276398</v>
      </c>
      <c r="N12" s="67">
        <f t="shared" si="1"/>
        <v>-9.5449501941439792</v>
      </c>
      <c r="O12" s="67">
        <f t="shared" si="1"/>
        <v>-10.022197703851191</v>
      </c>
      <c r="P12" s="67">
        <f t="shared" si="1"/>
        <v>-10.523307589043725</v>
      </c>
      <c r="Q12" s="67">
        <f t="shared" si="1"/>
        <v>-11.049472968495962</v>
      </c>
      <c r="R12" s="67">
        <f t="shared" si="1"/>
        <v>232.03893233841438</v>
      </c>
    </row>
    <row r="13" spans="1:20">
      <c r="A13" s="32" t="s">
        <v>75</v>
      </c>
      <c r="B13" s="33"/>
      <c r="C13" s="25"/>
      <c r="D13" s="25"/>
      <c r="E13" s="25"/>
      <c r="F13" s="25"/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</row>
    <row r="14" spans="1:20">
      <c r="A14" s="1" t="s">
        <v>76</v>
      </c>
      <c r="B14" s="25"/>
      <c r="C14" s="1">
        <f>-'RES  INV'!C31</f>
        <v>-689.03599999999994</v>
      </c>
      <c r="D14" s="25">
        <f>-Finc!C10</f>
        <v>-84.97458747882591</v>
      </c>
      <c r="E14" s="25">
        <f>-Finc!C11</f>
        <v>-88.373570977978943</v>
      </c>
      <c r="F14" s="25">
        <f>-Finc!C12</f>
        <v>-91.908513817098111</v>
      </c>
      <c r="G14" s="25">
        <f>-Finc!C13</f>
        <v>-95.584854369782022</v>
      </c>
      <c r="H14" s="25">
        <f>-Finc!C14</f>
        <v>-99.408248544573297</v>
      </c>
      <c r="I14" s="25">
        <f>-Finc!C15</f>
        <v>-103.38457848635623</v>
      </c>
      <c r="J14" s="25">
        <f>-Finc!C16</f>
        <v>-107.51996162581048</v>
      </c>
      <c r="K14" s="25">
        <f>-Finc!C17</f>
        <v>-111.82076009084291</v>
      </c>
      <c r="L14" s="25">
        <f>-Finc!C18</f>
        <v>-116.29359049447662</v>
      </c>
      <c r="M14" s="25">
        <f>-Finc!C19</f>
        <v>-120.94533411425569</v>
      </c>
      <c r="N14" s="25">
        <f>-Finc!D19</f>
        <v>-4.8378133645702226</v>
      </c>
      <c r="O14" s="1"/>
      <c r="P14" s="1"/>
      <c r="Q14" s="1"/>
      <c r="R14" s="1"/>
    </row>
    <row r="15" spans="1:20">
      <c r="A15" s="1" t="s">
        <v>77</v>
      </c>
      <c r="B15" s="25"/>
      <c r="C15" s="25"/>
      <c r="D15" s="25"/>
      <c r="E15" s="25"/>
      <c r="F15" s="25"/>
      <c r="G15" s="25"/>
      <c r="H15" s="25"/>
      <c r="I15" s="25"/>
      <c r="J15" s="25"/>
      <c r="K15" s="1"/>
      <c r="L15" s="1"/>
      <c r="M15" s="1"/>
      <c r="N15" s="1"/>
      <c r="O15" s="1"/>
      <c r="P15" s="1"/>
      <c r="Q15" s="1"/>
      <c r="R15" s="1">
        <f>+[1]Proyección!D33</f>
        <v>341.85000000000008</v>
      </c>
    </row>
    <row r="16" spans="1:20" s="21" customFormat="1">
      <c r="A16" s="66" t="s">
        <v>78</v>
      </c>
      <c r="B16" s="67">
        <f>+B14+B15</f>
        <v>0</v>
      </c>
      <c r="C16" s="67">
        <f t="shared" ref="C16:R16" si="2">+C14+C15</f>
        <v>-689.03599999999994</v>
      </c>
      <c r="D16" s="67">
        <f t="shared" si="2"/>
        <v>-84.97458747882591</v>
      </c>
      <c r="E16" s="67">
        <f t="shared" si="2"/>
        <v>-88.373570977978943</v>
      </c>
      <c r="F16" s="67">
        <f t="shared" si="2"/>
        <v>-91.908513817098111</v>
      </c>
      <c r="G16" s="67">
        <f t="shared" si="2"/>
        <v>-95.584854369782022</v>
      </c>
      <c r="H16" s="67">
        <f t="shared" si="2"/>
        <v>-99.408248544573297</v>
      </c>
      <c r="I16" s="67">
        <f t="shared" si="2"/>
        <v>-103.38457848635623</v>
      </c>
      <c r="J16" s="67">
        <f t="shared" si="2"/>
        <v>-107.51996162581048</v>
      </c>
      <c r="K16" s="67">
        <f t="shared" si="2"/>
        <v>-111.82076009084291</v>
      </c>
      <c r="L16" s="67">
        <f t="shared" si="2"/>
        <v>-116.29359049447662</v>
      </c>
      <c r="M16" s="67">
        <f t="shared" si="2"/>
        <v>-120.94533411425569</v>
      </c>
      <c r="N16" s="67">
        <f t="shared" si="2"/>
        <v>-4.8378133645702226</v>
      </c>
      <c r="O16" s="67">
        <f t="shared" si="2"/>
        <v>0</v>
      </c>
      <c r="P16" s="67">
        <f t="shared" si="2"/>
        <v>0</v>
      </c>
      <c r="Q16" s="67">
        <f t="shared" si="2"/>
        <v>0</v>
      </c>
      <c r="R16" s="67">
        <f t="shared" si="2"/>
        <v>341.85000000000008</v>
      </c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BDD5-6D7D-F74C-824C-C0046A6DCDBE}">
  <sheetPr codeName="Hoja7"/>
  <dimension ref="A1:R14"/>
  <sheetViews>
    <sheetView workbookViewId="0">
      <selection activeCell="F22" sqref="F22"/>
    </sheetView>
  </sheetViews>
  <sheetFormatPr baseColWidth="10" defaultRowHeight="16"/>
  <cols>
    <col min="1" max="1" width="37.33203125" style="30" customWidth="1"/>
    <col min="2" max="2" width="16.6640625" style="30" customWidth="1"/>
    <col min="3" max="3" width="14.6640625" style="30" bestFit="1" customWidth="1"/>
    <col min="4" max="4" width="13.5" style="30" customWidth="1"/>
    <col min="5" max="16384" width="10.83203125" style="30"/>
  </cols>
  <sheetData>
    <row r="1" spans="1:18" s="63" customFormat="1">
      <c r="A1" s="64"/>
      <c r="B1" s="68" t="s">
        <v>122</v>
      </c>
      <c r="C1" s="68" t="s">
        <v>123</v>
      </c>
      <c r="D1" s="68" t="s">
        <v>107</v>
      </c>
      <c r="E1" s="68" t="s">
        <v>108</v>
      </c>
      <c r="F1" s="68" t="s">
        <v>109</v>
      </c>
      <c r="G1" s="68" t="s">
        <v>110</v>
      </c>
      <c r="H1" s="68" t="s">
        <v>111</v>
      </c>
      <c r="I1" s="68" t="s">
        <v>112</v>
      </c>
      <c r="J1" s="68" t="s">
        <v>113</v>
      </c>
      <c r="K1" s="68" t="s">
        <v>114</v>
      </c>
      <c r="L1" s="68" t="s">
        <v>115</v>
      </c>
      <c r="M1" s="68" t="s">
        <v>116</v>
      </c>
      <c r="N1" s="68" t="s">
        <v>117</v>
      </c>
      <c r="O1" s="68" t="s">
        <v>118</v>
      </c>
      <c r="P1" s="68" t="s">
        <v>119</v>
      </c>
      <c r="Q1" s="68" t="s">
        <v>120</v>
      </c>
      <c r="R1" s="68" t="s">
        <v>121</v>
      </c>
    </row>
    <row r="2" spans="1:18">
      <c r="A2" s="48" t="s">
        <v>68</v>
      </c>
      <c r="B2" s="49">
        <f>+'Efec con Financto'!B7</f>
        <v>0</v>
      </c>
      <c r="C2" s="49">
        <f>+'Efec con Financto'!C7</f>
        <v>-40.80856</v>
      </c>
      <c r="D2" s="49">
        <f>+'Efec con Financto'!D7</f>
        <v>197.28209262436474</v>
      </c>
      <c r="E2" s="49">
        <f>+'Efec con Financto'!E7</f>
        <v>210.0607635037041</v>
      </c>
      <c r="F2" s="49">
        <f>+'Efec con Financto'!F7</f>
        <v>223.45185585571699</v>
      </c>
      <c r="G2" s="49">
        <f>+'Efec con Financto'!G7</f>
        <v>237.48493027118548</v>
      </c>
      <c r="H2" s="49">
        <f>+'Efec con Financto'!H7</f>
        <v>252.19098295111644</v>
      </c>
      <c r="I2" s="49">
        <f>+'Efec con Financto'!I7</f>
        <v>267.60251579048054</v>
      </c>
      <c r="J2" s="49">
        <f>+'Efec con Financto'!J7</f>
        <v>283.75360989826697</v>
      </c>
      <c r="K2" s="49">
        <f>+'Efec con Financto'!K7</f>
        <v>300.68000272295495</v>
      </c>
      <c r="L2" s="49">
        <f>+'Efec con Financto'!L7</f>
        <v>318.41916896085019</v>
      </c>
      <c r="M2" s="49">
        <f>+'Efec con Financto'!M7</f>
        <v>337.01040543349183</v>
      </c>
      <c r="N2" s="49">
        <f>+'Efec con Financto'!N7</f>
        <v>352.7214257051665</v>
      </c>
      <c r="O2" s="49">
        <f>+'Efec con Financto'!O7</f>
        <v>369.21799699042481</v>
      </c>
      <c r="P2" s="49">
        <f>+'Efec con Financto'!P7</f>
        <v>386.53939683994599</v>
      </c>
      <c r="Q2" s="49">
        <f>+'Efec con Financto'!Q7</f>
        <v>404.72686668194336</v>
      </c>
      <c r="R2" s="49">
        <f>+'Efec con Financto'!R7</f>
        <v>423.82371001604042</v>
      </c>
    </row>
    <row r="3" spans="1:18">
      <c r="A3" s="48" t="s">
        <v>70</v>
      </c>
      <c r="B3" s="49">
        <f>+'Efec con Financto'!B12</f>
        <v>0</v>
      </c>
      <c r="C3" s="49">
        <f>+'Efec con Financto'!C12</f>
        <v>-48.000899999999994</v>
      </c>
      <c r="D3" s="49">
        <f>+'Efec con Financto'!D12</f>
        <v>-75.054300000000012</v>
      </c>
      <c r="E3" s="49">
        <f>+'Efec con Financto'!E12</f>
        <v>-6.1527600000000149</v>
      </c>
      <c r="F3" s="49">
        <f>+'Efec con Financto'!F12</f>
        <v>-6.4603979999999694</v>
      </c>
      <c r="G3" s="49">
        <f>+'Efec con Financto'!G12</f>
        <v>-6.7834179000000177</v>
      </c>
      <c r="H3" s="49">
        <f>+'Efec con Financto'!H12</f>
        <v>-7.1225887950000129</v>
      </c>
      <c r="I3" s="49">
        <f>+'Efec con Financto'!I12</f>
        <v>-7.478718234750005</v>
      </c>
      <c r="J3" s="49">
        <f>+'Efec con Financto'!J12</f>
        <v>-7.8526541464875095</v>
      </c>
      <c r="K3" s="49">
        <f>+'Efec con Financto'!K12</f>
        <v>-8.2452868538118764</v>
      </c>
      <c r="L3" s="49">
        <f>+'Efec con Financto'!L12</f>
        <v>-8.6575511965024816</v>
      </c>
      <c r="M3" s="49">
        <f>+'Efec con Financto'!M12</f>
        <v>-9.0904287563276398</v>
      </c>
      <c r="N3" s="49">
        <f>+'Efec con Financto'!N12</f>
        <v>-9.5449501941439792</v>
      </c>
      <c r="O3" s="49">
        <f>+'Efec con Financto'!O12</f>
        <v>-10.022197703851191</v>
      </c>
      <c r="P3" s="49">
        <f>+'Efec con Financto'!P12</f>
        <v>-10.523307589043725</v>
      </c>
      <c r="Q3" s="49">
        <f>+'Efec con Financto'!Q12</f>
        <v>-11.049472968495962</v>
      </c>
      <c r="R3" s="49">
        <f>+'Efec con Financto'!R12</f>
        <v>232.03893233841438</v>
      </c>
    </row>
    <row r="4" spans="1:18">
      <c r="A4" s="48" t="s">
        <v>75</v>
      </c>
      <c r="B4" s="49">
        <f>+'Efec con Financto'!B16</f>
        <v>0</v>
      </c>
      <c r="C4" s="49">
        <f>+'Efec con Financto'!C16</f>
        <v>-689.03599999999994</v>
      </c>
      <c r="D4" s="49">
        <f>+'Efec con Financto'!D16</f>
        <v>-84.97458747882591</v>
      </c>
      <c r="E4" s="49">
        <f>+'Efec con Financto'!E16</f>
        <v>-88.373570977978943</v>
      </c>
      <c r="F4" s="49">
        <f>+'Efec con Financto'!F16</f>
        <v>-91.908513817098111</v>
      </c>
      <c r="G4" s="49">
        <f>+'Efec con Financto'!G16</f>
        <v>-95.584854369782022</v>
      </c>
      <c r="H4" s="49">
        <f>+'Efec con Financto'!H16</f>
        <v>-99.408248544573297</v>
      </c>
      <c r="I4" s="49">
        <f>+'Efec con Financto'!I16</f>
        <v>-103.38457848635623</v>
      </c>
      <c r="J4" s="49">
        <f>+'Efec con Financto'!J16</f>
        <v>-107.51996162581048</v>
      </c>
      <c r="K4" s="49">
        <f>+'Efec con Financto'!K16</f>
        <v>-111.82076009084291</v>
      </c>
      <c r="L4" s="49">
        <f>+'Efec con Financto'!L16</f>
        <v>-116.29359049447662</v>
      </c>
      <c r="M4" s="49">
        <f>+'Efec con Financto'!M16</f>
        <v>-120.94533411425569</v>
      </c>
      <c r="N4" s="49">
        <f>+'Efec con Financto'!N16</f>
        <v>-4.8378133645702226</v>
      </c>
      <c r="O4" s="49">
        <f>+'Efec con Financto'!O16</f>
        <v>0</v>
      </c>
      <c r="P4" s="49">
        <f>+'Efec con Financto'!P16</f>
        <v>0</v>
      </c>
      <c r="Q4" s="49">
        <f>+'Efec con Financto'!Q16</f>
        <v>0</v>
      </c>
      <c r="R4" s="49">
        <f>+'Efec con Financto'!R16</f>
        <v>341.85000000000008</v>
      </c>
    </row>
    <row r="5" spans="1:18">
      <c r="A5" s="50" t="s">
        <v>90</v>
      </c>
      <c r="B5" s="51">
        <f>SUM(B2:B4)</f>
        <v>0</v>
      </c>
      <c r="C5" s="51">
        <f t="shared" ref="C5:N5" si="0">SUM(C2:C4)</f>
        <v>-777.84546</v>
      </c>
      <c r="D5" s="51">
        <f t="shared" si="0"/>
        <v>37.253205145538814</v>
      </c>
      <c r="E5" s="51">
        <f t="shared" si="0"/>
        <v>115.53443252572515</v>
      </c>
      <c r="F5" s="51">
        <f t="shared" si="0"/>
        <v>125.0829440386189</v>
      </c>
      <c r="G5" s="51">
        <f t="shared" si="0"/>
        <v>135.11665800140344</v>
      </c>
      <c r="H5" s="51">
        <f t="shared" si="0"/>
        <v>145.66014561154313</v>
      </c>
      <c r="I5" s="51">
        <f t="shared" si="0"/>
        <v>156.73921906937431</v>
      </c>
      <c r="J5" s="51">
        <f t="shared" si="0"/>
        <v>168.38099412596898</v>
      </c>
      <c r="K5" s="51">
        <f t="shared" si="0"/>
        <v>180.61395577830018</v>
      </c>
      <c r="L5" s="51">
        <f t="shared" si="0"/>
        <v>193.46802726987107</v>
      </c>
      <c r="M5" s="51">
        <f t="shared" si="0"/>
        <v>206.97464256290851</v>
      </c>
      <c r="N5" s="51">
        <f t="shared" si="0"/>
        <v>338.33866214645235</v>
      </c>
      <c r="O5" s="51">
        <f t="shared" ref="O5:R5" si="1">SUM(O2:O4)</f>
        <v>359.19579928657362</v>
      </c>
      <c r="P5" s="51">
        <f t="shared" si="1"/>
        <v>376.01608925090227</v>
      </c>
      <c r="Q5" s="51">
        <f t="shared" si="1"/>
        <v>393.67739371344737</v>
      </c>
      <c r="R5" s="51">
        <f t="shared" si="1"/>
        <v>997.71264235445483</v>
      </c>
    </row>
    <row r="6" spans="1:18">
      <c r="A6" s="50" t="s">
        <v>89</v>
      </c>
      <c r="B6" s="51"/>
      <c r="C6" s="51"/>
      <c r="D6" s="51">
        <f>+Estados!B38+Estados!B36-Estados!B39-Estados!B41</f>
        <v>100.72499999999998</v>
      </c>
      <c r="E6" s="51">
        <f>+D6</f>
        <v>100.72499999999998</v>
      </c>
      <c r="F6" s="51">
        <f t="shared" ref="F6:R6" si="2">+E6</f>
        <v>100.72499999999998</v>
      </c>
      <c r="G6" s="51">
        <f t="shared" si="2"/>
        <v>100.72499999999998</v>
      </c>
      <c r="H6" s="51">
        <f t="shared" si="2"/>
        <v>100.72499999999998</v>
      </c>
      <c r="I6" s="51">
        <f t="shared" si="2"/>
        <v>100.72499999999998</v>
      </c>
      <c r="J6" s="51">
        <f t="shared" si="2"/>
        <v>100.72499999999998</v>
      </c>
      <c r="K6" s="51">
        <f t="shared" si="2"/>
        <v>100.72499999999998</v>
      </c>
      <c r="L6" s="51">
        <f t="shared" si="2"/>
        <v>100.72499999999998</v>
      </c>
      <c r="M6" s="51">
        <f t="shared" si="2"/>
        <v>100.72499999999998</v>
      </c>
      <c r="N6" s="51">
        <f t="shared" si="2"/>
        <v>100.72499999999998</v>
      </c>
      <c r="O6" s="51">
        <f t="shared" si="2"/>
        <v>100.72499999999998</v>
      </c>
      <c r="P6" s="51">
        <f t="shared" si="2"/>
        <v>100.72499999999998</v>
      </c>
      <c r="Q6" s="51">
        <f t="shared" si="2"/>
        <v>100.72499999999998</v>
      </c>
      <c r="R6" s="51">
        <f t="shared" si="2"/>
        <v>100.72499999999998</v>
      </c>
    </row>
    <row r="7" spans="1:18">
      <c r="A7" s="50" t="s">
        <v>91</v>
      </c>
      <c r="B7" s="51">
        <f>+B5-B6</f>
        <v>0</v>
      </c>
      <c r="C7" s="51">
        <f t="shared" ref="C7:R7" si="3">+C5-C6</f>
        <v>-777.84546</v>
      </c>
      <c r="D7" s="51">
        <f t="shared" si="3"/>
        <v>-63.471794854461166</v>
      </c>
      <c r="E7" s="51">
        <f t="shared" si="3"/>
        <v>14.809432525725171</v>
      </c>
      <c r="F7" s="51">
        <f t="shared" si="3"/>
        <v>24.357944038618925</v>
      </c>
      <c r="G7" s="51">
        <f t="shared" si="3"/>
        <v>34.391658001403457</v>
      </c>
      <c r="H7" s="51">
        <f t="shared" si="3"/>
        <v>44.935145611543149</v>
      </c>
      <c r="I7" s="51">
        <f t="shared" si="3"/>
        <v>56.014219069374334</v>
      </c>
      <c r="J7" s="51">
        <f t="shared" si="3"/>
        <v>67.655994125969002</v>
      </c>
      <c r="K7" s="51">
        <f t="shared" si="3"/>
        <v>79.8889557783002</v>
      </c>
      <c r="L7" s="51">
        <f t="shared" si="3"/>
        <v>92.743027269871092</v>
      </c>
      <c r="M7" s="51">
        <f t="shared" si="3"/>
        <v>106.24964256290853</v>
      </c>
      <c r="N7" s="51">
        <f t="shared" si="3"/>
        <v>237.61366214645238</v>
      </c>
      <c r="O7" s="51">
        <f t="shared" si="3"/>
        <v>258.47079928657365</v>
      </c>
      <c r="P7" s="51">
        <f t="shared" si="3"/>
        <v>275.2910892509023</v>
      </c>
      <c r="Q7" s="51">
        <f t="shared" si="3"/>
        <v>292.95239371344741</v>
      </c>
      <c r="R7" s="51">
        <f t="shared" si="3"/>
        <v>896.98764235445481</v>
      </c>
    </row>
    <row r="10" spans="1:18">
      <c r="A10" s="60" t="s">
        <v>124</v>
      </c>
      <c r="B10" s="59">
        <v>0.04</v>
      </c>
    </row>
    <row r="11" spans="1:18">
      <c r="A11" s="60" t="s">
        <v>88</v>
      </c>
      <c r="B11" s="58">
        <f>NPV(0.1267,C7:R7)+B7</f>
        <v>-194.25358749409375</v>
      </c>
    </row>
    <row r="12" spans="1:18">
      <c r="A12" s="60" t="s">
        <v>87</v>
      </c>
      <c r="B12" s="59">
        <f>IRR(B7:R7)</f>
        <v>9.6123197435708185E-2</v>
      </c>
    </row>
    <row r="13" spans="1:18">
      <c r="A13" s="36"/>
      <c r="B13" s="37"/>
      <c r="C13" s="24"/>
      <c r="D13" s="38"/>
    </row>
    <row r="14" spans="1:18">
      <c r="B14" s="57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Estados</vt:lpstr>
      <vt:lpstr>RES  INV</vt:lpstr>
      <vt:lpstr>Efectivo </vt:lpstr>
      <vt:lpstr>Indicadores</vt:lpstr>
      <vt:lpstr>Finc</vt:lpstr>
      <vt:lpstr>RES INV CFINC</vt:lpstr>
      <vt:lpstr>Efec con Financto</vt:lpstr>
      <vt:lpstr>Ind CF</vt:lpstr>
    </vt:vector>
  </TitlesOfParts>
  <Company>Consultor en Programas y Proyectos de Desarrollo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Terán Carreón</dc:creator>
  <cp:lastModifiedBy>José Antonio Terán Carreón</cp:lastModifiedBy>
  <dcterms:created xsi:type="dcterms:W3CDTF">2018-01-20T15:04:49Z</dcterms:created>
  <dcterms:modified xsi:type="dcterms:W3CDTF">2018-07-19T14:46:20Z</dcterms:modified>
</cp:coreProperties>
</file>