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755"/>
  </bookViews>
  <sheets>
    <sheet name="Hoja1" sheetId="1" r:id="rId1"/>
    <sheet name="Hoja2" sheetId="2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2" i="1"/>
  <c r="J47"/>
  <c r="H42"/>
  <c r="G42"/>
  <c r="D54"/>
  <c r="E25"/>
  <c r="F25" s="1"/>
  <c r="G25" s="1"/>
  <c r="D25"/>
  <c r="D44" s="1"/>
  <c r="E56" s="1"/>
  <c r="D43"/>
  <c r="F59"/>
  <c r="F58"/>
  <c r="F57"/>
  <c r="F56"/>
  <c r="F55"/>
  <c r="F54"/>
  <c r="E54"/>
  <c r="K42" l="1"/>
  <c r="E55"/>
  <c r="H55" s="1"/>
  <c r="G54"/>
  <c r="H54"/>
  <c r="H56"/>
  <c r="I54" l="1"/>
  <c r="E11" l="1"/>
  <c r="F11" s="1"/>
  <c r="G11" s="1"/>
  <c r="D11"/>
  <c r="D12"/>
  <c r="E12" s="1"/>
  <c r="F12" s="1"/>
  <c r="G12" s="1"/>
  <c r="D6"/>
  <c r="E6" s="1"/>
  <c r="F6" s="1"/>
  <c r="G6" s="1"/>
  <c r="D7"/>
  <c r="E7" s="1"/>
  <c r="F7" s="1"/>
  <c r="G7" s="1"/>
  <c r="C30" l="1"/>
  <c r="C13"/>
  <c r="D45" l="1"/>
  <c r="D30"/>
  <c r="D13"/>
  <c r="D8"/>
  <c r="C8"/>
  <c r="C15" s="1"/>
  <c r="E43" s="1"/>
  <c r="D55" l="1"/>
  <c r="K43"/>
  <c r="D47"/>
  <c r="D46"/>
  <c r="E57"/>
  <c r="D15"/>
  <c r="E44" s="1"/>
  <c r="E30"/>
  <c r="E8"/>
  <c r="G55" l="1"/>
  <c r="D56"/>
  <c r="G56" s="1"/>
  <c r="I56" s="1"/>
  <c r="K44"/>
  <c r="E59"/>
  <c r="H59" s="1"/>
  <c r="E58"/>
  <c r="H58" s="1"/>
  <c r="H57"/>
  <c r="E13"/>
  <c r="E15" s="1"/>
  <c r="E45" s="1"/>
  <c r="F30"/>
  <c r="G8"/>
  <c r="F8"/>
  <c r="F13"/>
  <c r="G13"/>
  <c r="I55" l="1"/>
  <c r="D57"/>
  <c r="K45"/>
  <c r="H60"/>
  <c r="E60"/>
  <c r="G15"/>
  <c r="E47" s="1"/>
  <c r="F15"/>
  <c r="E46" s="1"/>
  <c r="G30"/>
  <c r="G57" l="1"/>
  <c r="D59"/>
  <c r="G59" s="1"/>
  <c r="I59" s="1"/>
  <c r="K47"/>
  <c r="D58"/>
  <c r="K46"/>
  <c r="G58" l="1"/>
  <c r="I58" s="1"/>
  <c r="F64"/>
  <c r="G64" s="1"/>
  <c r="D60"/>
  <c r="I57"/>
  <c r="G60"/>
  <c r="F65" s="1"/>
  <c r="G65" s="1"/>
  <c r="I60" l="1"/>
  <c r="F63" s="1"/>
  <c r="G63" s="1"/>
</calcChain>
</file>

<file path=xl/sharedStrings.xml><?xml version="1.0" encoding="utf-8"?>
<sst xmlns="http://schemas.openxmlformats.org/spreadsheetml/2006/main" count="74" uniqueCount="58">
  <si>
    <t>P r o y e c c i o n   A n u a l   d e   C o s t o s</t>
  </si>
  <si>
    <t>Conceptos/Año</t>
  </si>
  <si>
    <t>Año 1</t>
  </si>
  <si>
    <t>Año 2</t>
  </si>
  <si>
    <t>Año 3</t>
  </si>
  <si>
    <t>Año 4</t>
  </si>
  <si>
    <t>Año 5</t>
  </si>
  <si>
    <t>Costos Fijos</t>
  </si>
  <si>
    <t>Subtotal</t>
  </si>
  <si>
    <t>Costos Variables</t>
  </si>
  <si>
    <t>TOTAL</t>
  </si>
  <si>
    <t xml:space="preserve">Mano de obra </t>
  </si>
  <si>
    <t>P r o y e c c i o n   A n u a l   d e   I n g r e s o s</t>
  </si>
  <si>
    <t>Presentacion/Año</t>
  </si>
  <si>
    <t>Ingresos Totales</t>
  </si>
  <si>
    <t xml:space="preserve">Unidades de venta por presentacion de productos </t>
  </si>
  <si>
    <t>EVALUACION FINANCIERA</t>
  </si>
  <si>
    <t>INDICADORES FINANCIEROS</t>
  </si>
  <si>
    <t>FLUJO NETO DE EFECTIVO</t>
  </si>
  <si>
    <t>Inversiones para el proyecto</t>
  </si>
  <si>
    <t>Valor de Rescate</t>
  </si>
  <si>
    <t>Flujo Neto de Efectivo</t>
  </si>
  <si>
    <t>Año de</t>
  </si>
  <si>
    <t>Ingresos</t>
  </si>
  <si>
    <t>Egresos</t>
  </si>
  <si>
    <t>Fija</t>
  </si>
  <si>
    <t>Diferida</t>
  </si>
  <si>
    <t>Cap de trab.</t>
  </si>
  <si>
    <t xml:space="preserve">Valor </t>
  </si>
  <si>
    <t>Recup. De</t>
  </si>
  <si>
    <t>operación</t>
  </si>
  <si>
    <t>totales*</t>
  </si>
  <si>
    <t>totales</t>
  </si>
  <si>
    <t>Residual</t>
  </si>
  <si>
    <t>cap. De Trab.</t>
  </si>
  <si>
    <t>CALCULO DEL VAN,  R B/C Y TIR CON UNA TASA DE DESCUENTO DEL 10%</t>
  </si>
  <si>
    <t>Año</t>
  </si>
  <si>
    <t>Costos</t>
  </si>
  <si>
    <t>Beneficios</t>
  </si>
  <si>
    <t>Factor de</t>
  </si>
  <si>
    <t>Flujo neto de</t>
  </si>
  <si>
    <t>de</t>
  </si>
  <si>
    <t>actualización</t>
  </si>
  <si>
    <t>actualizados</t>
  </si>
  <si>
    <t>efectivo act.</t>
  </si>
  <si>
    <t>($)</t>
  </si>
  <si>
    <t>Total</t>
  </si>
  <si>
    <t>Los indicadores financieros que arroja el proyecto son:</t>
  </si>
  <si>
    <t>VAN=</t>
  </si>
  <si>
    <t>TIR =</t>
  </si>
  <si>
    <t>B/C =</t>
  </si>
  <si>
    <t>Mejoramiento de la producción agrícola ecológica de la comunidad Los Colmenarez.</t>
  </si>
  <si>
    <t>"Produccion de frijoles negros"</t>
  </si>
  <si>
    <t>Nota: se asume como una sola unidad de 2.1 ha</t>
  </si>
  <si>
    <t xml:space="preserve">Mantenimiento de equipos </t>
  </si>
  <si>
    <t>Administrador /vendedor</t>
  </si>
  <si>
    <t>Costos de producción de la caraota</t>
  </si>
  <si>
    <t xml:space="preserve">Caraota en granos </t>
  </si>
</sst>
</file>

<file path=xl/styles.xml><?xml version="1.0" encoding="utf-8"?>
<styleSheet xmlns="http://schemas.openxmlformats.org/spreadsheetml/2006/main">
  <numFmts count="8">
    <numFmt numFmtId="164" formatCode="_-* #,##0.00\ _€_-;\-* #,##0.00\ _€_-;_-* &quot;-&quot;??\ _€_-;_-@_-"/>
    <numFmt numFmtId="165" formatCode="#,##0.00_ ;\-#,##0.00\ "/>
    <numFmt numFmtId="166" formatCode="#,##0.0_ ;\-#,##0.0\ "/>
    <numFmt numFmtId="167" formatCode="General_)"/>
    <numFmt numFmtId="168" formatCode="_-* #,##0.00\ _P_t_s_-;\-* #,##0.00\ _P_t_s_-;_-* &quot;-&quot;??\ _P_t_s_-;_-@_-"/>
    <numFmt numFmtId="169" formatCode="0.0%"/>
    <numFmt numFmtId="170" formatCode="#,##0.000"/>
    <numFmt numFmtId="176" formatCode="_-* #,##0.00_-;\-* #,##0.00_-;_-* &quot;-&quot;??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Times New Roman"/>
      <family val="1"/>
    </font>
    <font>
      <b/>
      <sz val="8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Courier"/>
      <family val="3"/>
    </font>
    <font>
      <b/>
      <i/>
      <sz val="10"/>
      <name val="Tahoma"/>
      <family val="2"/>
    </font>
    <font>
      <sz val="10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Courier"/>
      <family val="3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name val="Calibri"/>
      <family val="2"/>
      <scheme val="minor"/>
    </font>
    <font>
      <b/>
      <sz val="11"/>
      <color theme="1"/>
      <name val="Arial"/>
      <family val="2"/>
    </font>
    <font>
      <b/>
      <sz val="14"/>
      <name val="Arial"/>
      <family val="2"/>
    </font>
    <font>
      <b/>
      <sz val="12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9" fillId="0" borderId="0"/>
    <xf numFmtId="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ont="0" applyFill="0" applyBorder="0" applyAlignment="0" applyProtection="0"/>
  </cellStyleXfs>
  <cellXfs count="85">
    <xf numFmtId="0" fontId="0" fillId="0" borderId="0" xfId="0"/>
    <xf numFmtId="0" fontId="3" fillId="0" borderId="0" xfId="0" applyFont="1"/>
    <xf numFmtId="0" fontId="0" fillId="0" borderId="1" xfId="0" applyBorder="1"/>
    <xf numFmtId="164" fontId="0" fillId="0" borderId="1" xfId="1" applyFont="1" applyBorder="1"/>
    <xf numFmtId="164" fontId="2" fillId="2" borderId="1" xfId="1" applyFont="1" applyFill="1" applyBorder="1"/>
    <xf numFmtId="165" fontId="0" fillId="0" borderId="1" xfId="1" applyNumberFormat="1" applyFont="1" applyBorder="1"/>
    <xf numFmtId="0" fontId="2" fillId="0" borderId="0" xfId="0" applyFont="1"/>
    <xf numFmtId="164" fontId="2" fillId="3" borderId="1" xfId="1" applyFont="1" applyFill="1" applyBorder="1"/>
    <xf numFmtId="166" fontId="1" fillId="3" borderId="1" xfId="1" applyNumberFormat="1" applyFont="1" applyFill="1" applyBorder="1"/>
    <xf numFmtId="0" fontId="4" fillId="0" borderId="0" xfId="0" applyFont="1"/>
    <xf numFmtId="0" fontId="5" fillId="0" borderId="0" xfId="0" applyFont="1" applyFill="1" applyBorder="1" applyAlignment="1" applyProtection="1"/>
    <xf numFmtId="0" fontId="0" fillId="4" borderId="0" xfId="0" applyFill="1"/>
    <xf numFmtId="0" fontId="6" fillId="4" borderId="0" xfId="0" applyFont="1" applyFill="1" applyAlignment="1">
      <alignment horizontal="center" vertical="center"/>
    </xf>
    <xf numFmtId="0" fontId="7" fillId="4" borderId="0" xfId="0" applyFont="1" applyFill="1"/>
    <xf numFmtId="0" fontId="8" fillId="4" borderId="0" xfId="0" applyFont="1" applyFill="1"/>
    <xf numFmtId="167" fontId="10" fillId="0" borderId="0" xfId="2" applyNumberFormat="1" applyFont="1" applyFill="1"/>
    <xf numFmtId="4" fontId="11" fillId="0" borderId="0" xfId="2" applyNumberFormat="1" applyFont="1" applyFill="1"/>
    <xf numFmtId="167" fontId="9" fillId="0" borderId="0" xfId="2" applyNumberFormat="1" applyFont="1"/>
    <xf numFmtId="167" fontId="11" fillId="0" borderId="1" xfId="2" applyNumberFormat="1" applyFont="1" applyFill="1" applyBorder="1" applyAlignment="1">
      <alignment horizontal="center"/>
    </xf>
    <xf numFmtId="168" fontId="4" fillId="0" borderId="1" xfId="3" applyNumberFormat="1" applyFont="1" applyFill="1" applyBorder="1" applyAlignment="1">
      <alignment vertical="center"/>
    </xf>
    <xf numFmtId="3" fontId="11" fillId="0" borderId="1" xfId="2" applyNumberFormat="1" applyFont="1" applyFill="1" applyBorder="1"/>
    <xf numFmtId="168" fontId="4" fillId="0" borderId="1" xfId="3" applyNumberFormat="1" applyFont="1" applyBorder="1" applyAlignment="1">
      <alignment horizontal="right"/>
    </xf>
    <xf numFmtId="168" fontId="4" fillId="0" borderId="1" xfId="3" applyNumberFormat="1" applyFont="1" applyBorder="1"/>
    <xf numFmtId="167" fontId="12" fillId="0" borderId="1" xfId="2" applyNumberFormat="1" applyFont="1" applyBorder="1"/>
    <xf numFmtId="165" fontId="12" fillId="0" borderId="1" xfId="1" applyNumberFormat="1" applyFont="1" applyBorder="1"/>
    <xf numFmtId="4" fontId="11" fillId="0" borderId="1" xfId="2" applyNumberFormat="1" applyFont="1" applyFill="1" applyBorder="1"/>
    <xf numFmtId="167" fontId="11" fillId="0" borderId="0" xfId="2" applyNumberFormat="1" applyFont="1" applyFill="1" applyBorder="1" applyAlignment="1">
      <alignment horizontal="center"/>
    </xf>
    <xf numFmtId="4" fontId="11" fillId="0" borderId="0" xfId="2" applyNumberFormat="1" applyFont="1" applyFill="1" applyBorder="1"/>
    <xf numFmtId="3" fontId="11" fillId="0" borderId="0" xfId="2" applyNumberFormat="1" applyFont="1" applyFill="1" applyBorder="1"/>
    <xf numFmtId="0" fontId="0" fillId="0" borderId="0" xfId="0" applyBorder="1"/>
    <xf numFmtId="4" fontId="13" fillId="0" borderId="0" xfId="2" applyNumberFormat="1" applyFont="1" applyFill="1" applyBorder="1"/>
    <xf numFmtId="167" fontId="9" fillId="0" borderId="0" xfId="2" applyNumberFormat="1" applyFont="1" applyBorder="1"/>
    <xf numFmtId="167" fontId="14" fillId="0" borderId="0" xfId="2" applyNumberFormat="1" applyFont="1" applyFill="1"/>
    <xf numFmtId="167" fontId="15" fillId="0" borderId="0" xfId="2" applyNumberFormat="1" applyFont="1" applyFill="1"/>
    <xf numFmtId="167" fontId="12" fillId="0" borderId="0" xfId="2" applyNumberFormat="1" applyFont="1" applyFill="1"/>
    <xf numFmtId="167" fontId="4" fillId="0" borderId="0" xfId="2" applyNumberFormat="1" applyFont="1" applyFill="1"/>
    <xf numFmtId="4" fontId="13" fillId="0" borderId="0" xfId="2" applyNumberFormat="1" applyFont="1" applyFill="1" applyBorder="1" applyAlignment="1">
      <alignment horizontal="center"/>
    </xf>
    <xf numFmtId="170" fontId="11" fillId="0" borderId="1" xfId="2" applyNumberFormat="1" applyFont="1" applyFill="1" applyBorder="1" applyAlignment="1">
      <alignment horizontal="center"/>
    </xf>
    <xf numFmtId="167" fontId="4" fillId="0" borderId="0" xfId="2" applyNumberFormat="1" applyFont="1" applyFill="1" applyAlignment="1">
      <alignment horizontal="right"/>
    </xf>
    <xf numFmtId="4" fontId="16" fillId="0" borderId="0" xfId="2" applyNumberFormat="1" applyFont="1"/>
    <xf numFmtId="167" fontId="4" fillId="0" borderId="0" xfId="2" applyNumberFormat="1" applyFont="1" applyFill="1" applyBorder="1" applyAlignment="1">
      <alignment horizontal="center"/>
    </xf>
    <xf numFmtId="3" fontId="12" fillId="0" borderId="0" xfId="2" applyNumberFormat="1" applyFont="1" applyFill="1" applyBorder="1"/>
    <xf numFmtId="167" fontId="12" fillId="0" borderId="0" xfId="2" applyNumberFormat="1" applyFont="1" applyFill="1" applyAlignment="1">
      <alignment horizontal="right"/>
    </xf>
    <xf numFmtId="10" fontId="9" fillId="0" borderId="0" xfId="2" applyNumberFormat="1" applyFont="1"/>
    <xf numFmtId="167" fontId="11" fillId="0" borderId="0" xfId="2" applyNumberFormat="1" applyFont="1" applyFill="1"/>
    <xf numFmtId="167" fontId="13" fillId="0" borderId="0" xfId="2" applyNumberFormat="1" applyFont="1" applyFill="1"/>
    <xf numFmtId="167" fontId="11" fillId="0" borderId="0" xfId="2" applyNumberFormat="1" applyFont="1" applyFill="1" applyBorder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3" fillId="0" borderId="0" xfId="0" applyFont="1"/>
    <xf numFmtId="164" fontId="2" fillId="3" borderId="0" xfId="1" applyFont="1" applyFill="1" applyBorder="1"/>
    <xf numFmtId="166" fontId="1" fillId="3" borderId="0" xfId="1" applyNumberFormat="1" applyFont="1" applyFill="1" applyBorder="1"/>
    <xf numFmtId="176" fontId="0" fillId="0" borderId="1" xfId="1" applyNumberFormat="1" applyFont="1" applyBorder="1" applyProtection="1">
      <protection locked="0"/>
    </xf>
    <xf numFmtId="176" fontId="0" fillId="0" borderId="1" xfId="1" applyNumberFormat="1" applyFont="1" applyBorder="1"/>
    <xf numFmtId="164" fontId="11" fillId="0" borderId="1" xfId="1" applyNumberFormat="1" applyFont="1" applyFill="1" applyBorder="1"/>
    <xf numFmtId="167" fontId="13" fillId="0" borderId="2" xfId="2" applyNumberFormat="1" applyFont="1" applyFill="1" applyBorder="1"/>
    <xf numFmtId="4" fontId="13" fillId="0" borderId="3" xfId="5" applyNumberFormat="1" applyFont="1" applyFill="1" applyBorder="1" applyAlignment="1">
      <alignment horizontal="right"/>
    </xf>
    <xf numFmtId="167" fontId="13" fillId="0" borderId="4" xfId="2" applyNumberFormat="1" applyFont="1" applyFill="1" applyBorder="1"/>
    <xf numFmtId="10" fontId="13" fillId="0" borderId="5" xfId="4" applyNumberFormat="1" applyFont="1" applyFill="1" applyBorder="1" applyAlignment="1">
      <alignment horizontal="right"/>
    </xf>
    <xf numFmtId="167" fontId="13" fillId="0" borderId="6" xfId="2" applyNumberFormat="1" applyFont="1" applyFill="1" applyBorder="1"/>
    <xf numFmtId="2" fontId="13" fillId="0" borderId="7" xfId="2" applyNumberFormat="1" applyFont="1" applyFill="1" applyBorder="1" applyAlignment="1">
      <alignment horizontal="right"/>
    </xf>
    <xf numFmtId="0" fontId="0" fillId="0" borderId="0" xfId="0" applyProtection="1">
      <protection locked="0"/>
    </xf>
    <xf numFmtId="0" fontId="22" fillId="5" borderId="1" xfId="0" applyFont="1" applyFill="1" applyBorder="1"/>
    <xf numFmtId="0" fontId="2" fillId="2" borderId="1" xfId="0" applyFont="1" applyFill="1" applyBorder="1"/>
    <xf numFmtId="0" fontId="0" fillId="3" borderId="1" xfId="0" applyFill="1" applyBorder="1"/>
    <xf numFmtId="4" fontId="0" fillId="3" borderId="1" xfId="0" applyNumberFormat="1" applyFont="1" applyFill="1" applyBorder="1"/>
    <xf numFmtId="4" fontId="22" fillId="5" borderId="1" xfId="0" applyNumberFormat="1" applyFont="1" applyFill="1" applyBorder="1"/>
    <xf numFmtId="164" fontId="22" fillId="5" borderId="1" xfId="1" applyFont="1" applyFill="1" applyBorder="1"/>
    <xf numFmtId="0" fontId="2" fillId="3" borderId="1" xfId="0" applyFont="1" applyFill="1" applyBorder="1"/>
    <xf numFmtId="167" fontId="13" fillId="6" borderId="1" xfId="2" applyNumberFormat="1" applyFont="1" applyFill="1" applyBorder="1"/>
    <xf numFmtId="4" fontId="13" fillId="6" borderId="1" xfId="2" applyNumberFormat="1" applyFont="1" applyFill="1" applyBorder="1"/>
    <xf numFmtId="4" fontId="13" fillId="6" borderId="1" xfId="2" applyNumberFormat="1" applyFont="1" applyFill="1" applyBorder="1" applyAlignment="1">
      <alignment horizontal="center"/>
    </xf>
    <xf numFmtId="4" fontId="13" fillId="6" borderId="1" xfId="2" applyNumberFormat="1" applyFont="1" applyFill="1" applyBorder="1" applyAlignment="1"/>
    <xf numFmtId="167" fontId="13" fillId="6" borderId="1" xfId="2" applyNumberFormat="1" applyFont="1" applyFill="1" applyBorder="1" applyAlignment="1">
      <alignment horizontal="center" wrapText="1"/>
    </xf>
    <xf numFmtId="167" fontId="13" fillId="6" borderId="1" xfId="2" applyNumberFormat="1" applyFont="1" applyFill="1" applyBorder="1" applyAlignment="1">
      <alignment horizontal="center"/>
    </xf>
    <xf numFmtId="4" fontId="13" fillId="6" borderId="1" xfId="2" applyNumberFormat="1" applyFont="1" applyFill="1" applyBorder="1" applyAlignment="1">
      <alignment horizontal="center"/>
    </xf>
    <xf numFmtId="3" fontId="25" fillId="6" borderId="1" xfId="2" applyNumberFormat="1" applyFont="1" applyFill="1" applyBorder="1" applyAlignment="1">
      <alignment horizontal="center"/>
    </xf>
    <xf numFmtId="0" fontId="24" fillId="6" borderId="1" xfId="0" applyFont="1" applyFill="1" applyBorder="1" applyAlignment="1">
      <alignment horizontal="center"/>
    </xf>
    <xf numFmtId="169" fontId="13" fillId="6" borderId="1" xfId="4" applyNumberFormat="1" applyFont="1" applyFill="1" applyBorder="1" applyAlignment="1">
      <alignment horizontal="center"/>
    </xf>
    <xf numFmtId="167" fontId="4" fillId="7" borderId="1" xfId="2" applyNumberFormat="1" applyFont="1" applyFill="1" applyBorder="1" applyAlignment="1">
      <alignment horizontal="center"/>
    </xf>
    <xf numFmtId="3" fontId="4" fillId="7" borderId="1" xfId="2" applyNumberFormat="1" applyFont="1" applyFill="1" applyBorder="1"/>
    <xf numFmtId="4" fontId="4" fillId="7" borderId="1" xfId="2" applyNumberFormat="1" applyFont="1" applyFill="1" applyBorder="1"/>
  </cellXfs>
  <cellStyles count="6">
    <cellStyle name="Millares" xfId="1" builtinId="3"/>
    <cellStyle name="Millares_EVALUACION_APICOLA_FINAL_formato  Max_corregida 2" xfId="3"/>
    <cellStyle name="Moneda_EVALUACION_APICOLA_FINAL_formato  Max_corregida 2" xfId="5"/>
    <cellStyle name="Normal" xfId="0" builtinId="0"/>
    <cellStyle name="Normal 2" xfId="2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62</xdr:row>
      <xdr:rowOff>0</xdr:rowOff>
    </xdr:from>
    <xdr:to>
      <xdr:col>5</xdr:col>
      <xdr:colOff>0</xdr:colOff>
      <xdr:row>62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2486025" y="5143500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66"/>
  <sheetViews>
    <sheetView tabSelected="1" workbookViewId="0">
      <selection activeCell="H63" sqref="H63"/>
    </sheetView>
  </sheetViews>
  <sheetFormatPr baseColWidth="10" defaultRowHeight="15"/>
  <cols>
    <col min="2" max="2" width="32.28515625" customWidth="1"/>
    <col min="3" max="3" width="15.7109375" customWidth="1"/>
    <col min="4" max="4" width="16.42578125" customWidth="1"/>
    <col min="5" max="5" width="15.42578125" customWidth="1"/>
    <col min="6" max="6" width="20" customWidth="1"/>
    <col min="7" max="7" width="16.5703125" customWidth="1"/>
    <col min="8" max="8" width="17.5703125" customWidth="1"/>
    <col min="9" max="9" width="14.5703125" bestFit="1" customWidth="1"/>
    <col min="10" max="10" width="11.42578125" customWidth="1"/>
    <col min="11" max="11" width="14.5703125" customWidth="1"/>
  </cols>
  <sheetData>
    <row r="1" spans="2:9" s="50" customFormat="1" ht="23.25">
      <c r="B1" s="47" t="s">
        <v>51</v>
      </c>
      <c r="C1" s="48"/>
      <c r="D1" s="48"/>
      <c r="E1" s="48"/>
      <c r="F1" s="48"/>
      <c r="G1" s="49"/>
    </row>
    <row r="2" spans="2:9" s="50" customFormat="1" ht="18">
      <c r="B2" s="51" t="s">
        <v>52</v>
      </c>
      <c r="E2" s="52"/>
      <c r="F2" s="52"/>
    </row>
    <row r="3" spans="2:9" s="50" customFormat="1" ht="18">
      <c r="C3" s="51" t="s">
        <v>0</v>
      </c>
    </row>
    <row r="4" spans="2:9">
      <c r="B4" s="65" t="s">
        <v>1</v>
      </c>
      <c r="C4" s="65" t="s">
        <v>2</v>
      </c>
      <c r="D4" s="65" t="s">
        <v>3</v>
      </c>
      <c r="E4" s="65" t="s">
        <v>4</v>
      </c>
      <c r="F4" s="65" t="s">
        <v>5</v>
      </c>
      <c r="G4" s="65" t="s">
        <v>6</v>
      </c>
    </row>
    <row r="5" spans="2:9">
      <c r="B5" s="65" t="s">
        <v>7</v>
      </c>
      <c r="C5" s="2"/>
      <c r="D5" s="2"/>
      <c r="E5" s="2"/>
      <c r="F5" s="2"/>
      <c r="G5" s="2"/>
    </row>
    <row r="6" spans="2:9">
      <c r="B6" s="2" t="s">
        <v>55</v>
      </c>
      <c r="C6" s="3">
        <v>5000000</v>
      </c>
      <c r="D6" s="3">
        <f>C6*1.05</f>
        <v>5250000</v>
      </c>
      <c r="E6" s="3">
        <f>D6*1.05</f>
        <v>5512500</v>
      </c>
      <c r="F6" s="3">
        <f>E6*1.05</f>
        <v>5788125</v>
      </c>
      <c r="G6" s="3">
        <f>F6*1.05</f>
        <v>6077531.25</v>
      </c>
    </row>
    <row r="7" spans="2:9">
      <c r="B7" s="2" t="s">
        <v>54</v>
      </c>
      <c r="C7" s="3">
        <v>909200</v>
      </c>
      <c r="D7" s="3">
        <f>C7*1.05</f>
        <v>954660</v>
      </c>
      <c r="E7" s="3">
        <f>D7*1.05</f>
        <v>1002393</v>
      </c>
      <c r="F7" s="3">
        <f>E7*1.05</f>
        <v>1052512.6500000001</v>
      </c>
      <c r="G7" s="3">
        <f>F7*1.05</f>
        <v>1105138.2825000002</v>
      </c>
    </row>
    <row r="8" spans="2:9">
      <c r="B8" s="66" t="s">
        <v>8</v>
      </c>
      <c r="C8" s="4">
        <f>SUM(C6:C7)</f>
        <v>5909200</v>
      </c>
      <c r="D8" s="4">
        <f>SUM(D6:D7)</f>
        <v>6204660</v>
      </c>
      <c r="E8" s="4">
        <f>SUM(E6:E7)</f>
        <v>6514893</v>
      </c>
      <c r="F8" s="4">
        <f>SUM(F6:F7)</f>
        <v>6840637.6500000004</v>
      </c>
      <c r="G8" s="4">
        <f>SUM(G6:G7)</f>
        <v>7182669.5325000007</v>
      </c>
      <c r="I8" s="53"/>
    </row>
    <row r="9" spans="2:9">
      <c r="B9" s="2"/>
      <c r="C9" s="3"/>
      <c r="D9" s="3"/>
      <c r="E9" s="3"/>
      <c r="F9" s="3"/>
      <c r="G9" s="3"/>
    </row>
    <row r="10" spans="2:9">
      <c r="B10" s="65" t="s">
        <v>9</v>
      </c>
      <c r="C10" s="3"/>
      <c r="D10" s="3"/>
      <c r="E10" s="3"/>
      <c r="F10" s="3"/>
      <c r="G10" s="3"/>
    </row>
    <row r="11" spans="2:9">
      <c r="B11" s="67" t="s">
        <v>56</v>
      </c>
      <c r="C11" s="3">
        <v>11800000</v>
      </c>
      <c r="D11" s="5">
        <f>C11*1.05</f>
        <v>12390000</v>
      </c>
      <c r="E11" s="5">
        <f t="shared" ref="E11:G11" si="0">D11*1.05</f>
        <v>13009500</v>
      </c>
      <c r="F11" s="5">
        <f t="shared" si="0"/>
        <v>13659975</v>
      </c>
      <c r="G11" s="5">
        <f t="shared" si="0"/>
        <v>14342973.75</v>
      </c>
    </row>
    <row r="12" spans="2:9">
      <c r="B12" s="68" t="s">
        <v>11</v>
      </c>
      <c r="C12" s="3">
        <v>9792000</v>
      </c>
      <c r="D12" s="3">
        <f>C12*1.05</f>
        <v>10281600</v>
      </c>
      <c r="E12" s="3">
        <f>D12*1.05</f>
        <v>10795680</v>
      </c>
      <c r="F12" s="3">
        <f>E12*1.05</f>
        <v>11335464</v>
      </c>
      <c r="G12" s="3">
        <f>F12*1.05</f>
        <v>11902237.200000001</v>
      </c>
    </row>
    <row r="13" spans="2:9">
      <c r="B13" s="66" t="s">
        <v>8</v>
      </c>
      <c r="C13" s="4">
        <f>SUM(C11:C12)</f>
        <v>21592000</v>
      </c>
      <c r="D13" s="4">
        <f>SUM(D11:D12)</f>
        <v>22671600</v>
      </c>
      <c r="E13" s="4">
        <f>SUM(E11:E12)</f>
        <v>23805180</v>
      </c>
      <c r="F13" s="4">
        <f>SUM(F11:F12)</f>
        <v>24995439</v>
      </c>
      <c r="G13" s="4">
        <f>SUM(G11:G12)</f>
        <v>26245210.950000003</v>
      </c>
    </row>
    <row r="14" spans="2:9">
      <c r="B14" s="2"/>
      <c r="C14" s="3"/>
      <c r="D14" s="3"/>
      <c r="E14" s="3"/>
      <c r="F14" s="3"/>
      <c r="G14" s="3"/>
    </row>
    <row r="15" spans="2:9">
      <c r="B15" s="65" t="s">
        <v>10</v>
      </c>
      <c r="C15" s="69">
        <f>SUM(C13+C8)</f>
        <v>27501200</v>
      </c>
      <c r="D15" s="69">
        <f>SUM(D13+D8)</f>
        <v>28876260</v>
      </c>
      <c r="E15" s="69">
        <f>SUM(E13+E8)</f>
        <v>30320073</v>
      </c>
      <c r="F15" s="69">
        <f>SUM(F13+F8)</f>
        <v>31836076.649999999</v>
      </c>
      <c r="G15" s="69">
        <f>SUM(G13+G8)</f>
        <v>33427880.482500002</v>
      </c>
    </row>
    <row r="17" spans="2:9">
      <c r="B17" s="6" t="s">
        <v>53</v>
      </c>
    </row>
    <row r="20" spans="2:9" ht="18.75">
      <c r="C20" s="1" t="s">
        <v>12</v>
      </c>
    </row>
    <row r="22" spans="2:9">
      <c r="C22" s="6" t="s">
        <v>15</v>
      </c>
    </row>
    <row r="23" spans="2:9">
      <c r="B23" s="65" t="s">
        <v>13</v>
      </c>
      <c r="C23" s="70" t="s">
        <v>2</v>
      </c>
      <c r="D23" s="70" t="s">
        <v>3</v>
      </c>
      <c r="E23" s="70" t="s">
        <v>4</v>
      </c>
      <c r="F23" s="70" t="s">
        <v>5</v>
      </c>
      <c r="G23" s="70" t="s">
        <v>6</v>
      </c>
    </row>
    <row r="24" spans="2:9">
      <c r="B24" s="71"/>
      <c r="C24" s="7"/>
      <c r="D24" s="7"/>
      <c r="E24" s="7"/>
      <c r="F24" s="7"/>
      <c r="G24" s="7"/>
    </row>
    <row r="25" spans="2:9">
      <c r="B25" s="71" t="s">
        <v>57</v>
      </c>
      <c r="C25" s="8">
        <v>29400000</v>
      </c>
      <c r="D25" s="8">
        <f>C25*1.1</f>
        <v>32340000.000000004</v>
      </c>
      <c r="E25" s="8">
        <f t="shared" ref="E25:G25" si="1">D25*1.1</f>
        <v>35574000.000000007</v>
      </c>
      <c r="F25" s="8">
        <f t="shared" si="1"/>
        <v>39131400.000000015</v>
      </c>
      <c r="G25" s="8">
        <f t="shared" si="1"/>
        <v>43044540.000000022</v>
      </c>
      <c r="I25" s="54"/>
    </row>
    <row r="26" spans="2:9">
      <c r="B26" s="71"/>
      <c r="C26" s="8"/>
      <c r="D26" s="8"/>
      <c r="E26" s="8"/>
      <c r="F26" s="8"/>
      <c r="G26" s="8"/>
    </row>
    <row r="27" spans="2:9">
      <c r="B27" s="71"/>
      <c r="C27" s="8"/>
      <c r="D27" s="8"/>
      <c r="E27" s="8"/>
      <c r="F27" s="8"/>
      <c r="G27" s="8"/>
    </row>
    <row r="28" spans="2:9">
      <c r="B28" s="71"/>
      <c r="C28" s="8"/>
      <c r="D28" s="8"/>
      <c r="E28" s="8"/>
      <c r="F28" s="8"/>
      <c r="G28" s="8"/>
    </row>
    <row r="29" spans="2:9">
      <c r="B29" s="71"/>
      <c r="C29" s="7"/>
      <c r="D29" s="7"/>
      <c r="E29" s="7"/>
      <c r="F29" s="7"/>
      <c r="G29" s="7"/>
    </row>
    <row r="30" spans="2:9">
      <c r="B30" s="65" t="s">
        <v>14</v>
      </c>
      <c r="C30" s="69">
        <f>SUM(C25+C27)</f>
        <v>29400000</v>
      </c>
      <c r="D30" s="69">
        <f t="shared" ref="D30:G30" si="2">SUM(D25+D27)</f>
        <v>32340000.000000004</v>
      </c>
      <c r="E30" s="69">
        <f t="shared" si="2"/>
        <v>35574000.000000007</v>
      </c>
      <c r="F30" s="69">
        <f t="shared" si="2"/>
        <v>39131400.000000015</v>
      </c>
      <c r="G30" s="69">
        <f t="shared" si="2"/>
        <v>43044540.000000022</v>
      </c>
    </row>
    <row r="35" spans="3:11" ht="18">
      <c r="C35" s="9"/>
      <c r="D35" s="10"/>
      <c r="E35" s="80" t="s">
        <v>16</v>
      </c>
      <c r="F35" s="80"/>
      <c r="G35" s="80"/>
      <c r="H35" s="80"/>
    </row>
    <row r="36" spans="3:11">
      <c r="C36" s="11"/>
      <c r="D36" s="12"/>
      <c r="E36" s="13"/>
      <c r="F36" s="11"/>
      <c r="G36" s="11"/>
      <c r="H36" s="11"/>
      <c r="I36" s="11"/>
      <c r="J36" s="14"/>
      <c r="K36" s="11"/>
    </row>
    <row r="37" spans="3:11" ht="15.75">
      <c r="C37" s="79" t="s">
        <v>17</v>
      </c>
      <c r="D37" s="79"/>
      <c r="E37" s="79"/>
      <c r="F37" s="79"/>
      <c r="G37" s="79"/>
      <c r="H37" s="79"/>
      <c r="I37" s="79"/>
      <c r="J37" s="79"/>
      <c r="K37" s="79"/>
    </row>
    <row r="38" spans="3:11">
      <c r="C38" s="15" t="s">
        <v>18</v>
      </c>
      <c r="D38" s="16"/>
      <c r="E38" s="16"/>
      <c r="F38" s="16"/>
      <c r="G38" s="16"/>
      <c r="H38" s="16"/>
      <c r="I38" s="16"/>
      <c r="J38" s="16"/>
      <c r="K38" s="17"/>
    </row>
    <row r="39" spans="3:11" ht="15" customHeight="1">
      <c r="C39" s="72"/>
      <c r="D39" s="73"/>
      <c r="E39" s="74" t="s">
        <v>19</v>
      </c>
      <c r="F39" s="74"/>
      <c r="G39" s="74"/>
      <c r="H39" s="74"/>
      <c r="I39" s="75" t="s">
        <v>20</v>
      </c>
      <c r="J39" s="75"/>
      <c r="K39" s="76" t="s">
        <v>21</v>
      </c>
    </row>
    <row r="40" spans="3:11">
      <c r="C40" s="77" t="s">
        <v>22</v>
      </c>
      <c r="D40" s="78" t="s">
        <v>23</v>
      </c>
      <c r="E40" s="78" t="s">
        <v>24</v>
      </c>
      <c r="F40" s="78" t="s">
        <v>25</v>
      </c>
      <c r="G40" s="78" t="s">
        <v>26</v>
      </c>
      <c r="H40" s="78" t="s">
        <v>27</v>
      </c>
      <c r="I40" s="78" t="s">
        <v>28</v>
      </c>
      <c r="J40" s="78" t="s">
        <v>29</v>
      </c>
      <c r="K40" s="76"/>
    </row>
    <row r="41" spans="3:11">
      <c r="C41" s="77" t="s">
        <v>30</v>
      </c>
      <c r="D41" s="77" t="s">
        <v>31</v>
      </c>
      <c r="E41" s="77" t="s">
        <v>32</v>
      </c>
      <c r="F41" s="72"/>
      <c r="G41" s="72"/>
      <c r="H41" s="72"/>
      <c r="I41" s="77" t="s">
        <v>33</v>
      </c>
      <c r="J41" s="77" t="s">
        <v>34</v>
      </c>
      <c r="K41" s="76"/>
    </row>
    <row r="42" spans="3:11">
      <c r="C42" s="18">
        <v>0</v>
      </c>
      <c r="D42" s="19"/>
      <c r="E42" s="20"/>
      <c r="F42" s="21">
        <f>0.64*27000000</f>
        <v>17280000</v>
      </c>
      <c r="G42" s="22">
        <f>0.04*27000000</f>
        <v>1080000</v>
      </c>
      <c r="H42" s="22">
        <f>0.32*27000000</f>
        <v>8640000</v>
      </c>
      <c r="I42" s="23"/>
      <c r="J42" s="23"/>
      <c r="K42" s="24">
        <f t="shared" ref="K42" si="3">D42-E42-F42-G42-H42+I42+J42</f>
        <v>-27000000</v>
      </c>
    </row>
    <row r="43" spans="3:11">
      <c r="C43" s="18">
        <v>1</v>
      </c>
      <c r="D43" s="55">
        <f>C25</f>
        <v>29400000</v>
      </c>
      <c r="E43" s="56">
        <f>C15</f>
        <v>27501200</v>
      </c>
      <c r="F43" s="57"/>
      <c r="G43" s="57"/>
      <c r="H43" s="57"/>
      <c r="I43" s="20"/>
      <c r="J43" s="20"/>
      <c r="K43" s="24">
        <f>D43-E43-F43-G43-H43+I43+J43</f>
        <v>1898800</v>
      </c>
    </row>
    <row r="44" spans="3:11">
      <c r="C44" s="18">
        <v>2</v>
      </c>
      <c r="D44" s="55">
        <f>D25</f>
        <v>32340000.000000004</v>
      </c>
      <c r="E44" s="56">
        <f>D15</f>
        <v>28876260</v>
      </c>
      <c r="F44" s="20"/>
      <c r="G44" s="20"/>
      <c r="H44" s="20"/>
      <c r="I44" s="20"/>
      <c r="J44" s="20"/>
      <c r="K44" s="24">
        <f>D44-E44-F44-G44-H44+I44+J44</f>
        <v>3463740.0000000037</v>
      </c>
    </row>
    <row r="45" spans="3:11">
      <c r="C45" s="18">
        <v>3</v>
      </c>
      <c r="D45" s="55">
        <f>E25</f>
        <v>35574000.000000007</v>
      </c>
      <c r="E45" s="56">
        <f>E15</f>
        <v>30320073</v>
      </c>
      <c r="F45" s="20"/>
      <c r="G45" s="20"/>
      <c r="H45" s="20"/>
      <c r="I45" s="20"/>
      <c r="J45" s="20"/>
      <c r="K45" s="24">
        <f>D45-E45-F45-G45-H45+I45+J45</f>
        <v>5253927.0000000075</v>
      </c>
    </row>
    <row r="46" spans="3:11">
      <c r="C46" s="18">
        <v>4</v>
      </c>
      <c r="D46" s="55">
        <f>F25</f>
        <v>39131400.000000015</v>
      </c>
      <c r="E46" s="56">
        <f>F15</f>
        <v>31836076.649999999</v>
      </c>
      <c r="F46" s="20"/>
      <c r="G46" s="20"/>
      <c r="H46" s="20"/>
      <c r="I46" s="20"/>
      <c r="J46" s="20"/>
      <c r="K46" s="24">
        <f>D46-E46-F46-G46-H46+I46+J46</f>
        <v>7295323.3500000164</v>
      </c>
    </row>
    <row r="47" spans="3:11">
      <c r="C47" s="18">
        <v>5</v>
      </c>
      <c r="D47" s="55">
        <f>G25</f>
        <v>43044540.000000022</v>
      </c>
      <c r="E47" s="56">
        <f>G15</f>
        <v>33427880.482500002</v>
      </c>
      <c r="F47" s="20"/>
      <c r="G47" s="20"/>
      <c r="H47" s="20"/>
      <c r="I47" s="20"/>
      <c r="J47" s="20">
        <f>0.5*27000000</f>
        <v>13500000</v>
      </c>
      <c r="K47" s="24">
        <f>D47-E47-F47-G47-H47+I47+J47</f>
        <v>23116659.517500021</v>
      </c>
    </row>
    <row r="48" spans="3:11">
      <c r="C48" s="26"/>
      <c r="D48" s="27"/>
      <c r="E48" s="27"/>
      <c r="F48" s="28"/>
      <c r="G48" s="28"/>
      <c r="H48" s="28"/>
      <c r="I48" s="29"/>
      <c r="J48" s="30"/>
      <c r="K48" s="31"/>
    </row>
    <row r="49" spans="3:11">
      <c r="C49" s="26"/>
      <c r="D49" s="27"/>
      <c r="E49" s="27"/>
      <c r="F49" s="28"/>
      <c r="G49" s="28"/>
      <c r="H49" s="28"/>
      <c r="I49" s="30"/>
      <c r="J49" s="30"/>
      <c r="K49" s="17"/>
    </row>
    <row r="50" spans="3:11">
      <c r="C50" s="32" t="s">
        <v>35</v>
      </c>
      <c r="D50" s="33"/>
      <c r="E50" s="33"/>
      <c r="F50" s="33"/>
      <c r="G50" s="34"/>
      <c r="H50" s="34"/>
      <c r="I50" s="34"/>
      <c r="J50" s="34"/>
      <c r="K50" s="17"/>
    </row>
    <row r="51" spans="3:11">
      <c r="C51" s="77" t="s">
        <v>36</v>
      </c>
      <c r="D51" s="78" t="s">
        <v>37</v>
      </c>
      <c r="E51" s="78" t="s">
        <v>38</v>
      </c>
      <c r="F51" s="78" t="s">
        <v>39</v>
      </c>
      <c r="G51" s="78" t="s">
        <v>37</v>
      </c>
      <c r="H51" s="78" t="s">
        <v>38</v>
      </c>
      <c r="I51" s="78" t="s">
        <v>40</v>
      </c>
      <c r="J51" s="35"/>
      <c r="K51" s="17"/>
    </row>
    <row r="52" spans="3:11">
      <c r="C52" s="77" t="s">
        <v>41</v>
      </c>
      <c r="D52" s="78" t="s">
        <v>32</v>
      </c>
      <c r="E52" s="78" t="s">
        <v>32</v>
      </c>
      <c r="F52" s="78" t="s">
        <v>42</v>
      </c>
      <c r="G52" s="78" t="s">
        <v>43</v>
      </c>
      <c r="H52" s="78" t="s">
        <v>43</v>
      </c>
      <c r="I52" s="78" t="s">
        <v>44</v>
      </c>
      <c r="J52" s="36"/>
      <c r="K52" s="17"/>
    </row>
    <row r="53" spans="3:11">
      <c r="C53" s="77" t="s">
        <v>30</v>
      </c>
      <c r="D53" s="77" t="s">
        <v>45</v>
      </c>
      <c r="E53" s="77" t="s">
        <v>45</v>
      </c>
      <c r="F53" s="81">
        <v>0.1</v>
      </c>
      <c r="G53" s="77" t="s">
        <v>45</v>
      </c>
      <c r="H53" s="77" t="s">
        <v>45</v>
      </c>
      <c r="I53" s="77" t="s">
        <v>45</v>
      </c>
      <c r="J53" s="35"/>
      <c r="K53" s="17"/>
    </row>
    <row r="54" spans="3:11">
      <c r="C54" s="18">
        <v>0</v>
      </c>
      <c r="D54" s="20">
        <f t="shared" ref="D54" si="4">SUM(E42,F42,G42,H42)</f>
        <v>27000000</v>
      </c>
      <c r="E54" s="20">
        <f t="shared" ref="E54" si="5">D42+I42+J42</f>
        <v>0</v>
      </c>
      <c r="F54" s="37">
        <f>1/(1+F53)^C54</f>
        <v>1</v>
      </c>
      <c r="G54" s="25">
        <f t="shared" ref="G54:G59" si="6">+F54*D54</f>
        <v>27000000</v>
      </c>
      <c r="H54" s="25">
        <f t="shared" ref="H54:H59" si="7">+F54*E54</f>
        <v>0</v>
      </c>
      <c r="I54" s="25">
        <f t="shared" ref="I54:I59" si="8">+H54-G54</f>
        <v>-27000000</v>
      </c>
      <c r="J54" s="34"/>
      <c r="K54" s="17"/>
    </row>
    <row r="55" spans="3:11">
      <c r="C55" s="18">
        <v>1</v>
      </c>
      <c r="D55" s="20">
        <f>SUM(E43,F43,G43,H43)</f>
        <v>27501200</v>
      </c>
      <c r="E55" s="20">
        <f>D43+I43+J43</f>
        <v>29400000</v>
      </c>
      <c r="F55" s="37">
        <f>1/(1+F53)^C55</f>
        <v>0.90909090909090906</v>
      </c>
      <c r="G55" s="25">
        <f t="shared" si="6"/>
        <v>25001090.90909091</v>
      </c>
      <c r="H55" s="25">
        <f t="shared" si="7"/>
        <v>26727272.727272727</v>
      </c>
      <c r="I55" s="25">
        <f t="shared" si="8"/>
        <v>1726181.8181818165</v>
      </c>
      <c r="J55" s="34"/>
      <c r="K55" s="17"/>
    </row>
    <row r="56" spans="3:11">
      <c r="C56" s="18">
        <v>2</v>
      </c>
      <c r="D56" s="20">
        <f>SUM(E44,F44,G44,H44)</f>
        <v>28876260</v>
      </c>
      <c r="E56" s="20">
        <f>D44+I44+J44</f>
        <v>32340000.000000004</v>
      </c>
      <c r="F56" s="37">
        <f>1/(1+F53)^C56</f>
        <v>0.82644628099173545</v>
      </c>
      <c r="G56" s="25">
        <f t="shared" si="6"/>
        <v>23864677.68595041</v>
      </c>
      <c r="H56" s="25">
        <f t="shared" si="7"/>
        <v>26727272.727272727</v>
      </c>
      <c r="I56" s="25">
        <f t="shared" si="8"/>
        <v>2862595.041322317</v>
      </c>
      <c r="J56" s="34"/>
      <c r="K56" s="17"/>
    </row>
    <row r="57" spans="3:11">
      <c r="C57" s="18">
        <v>3</v>
      </c>
      <c r="D57" s="20">
        <f>SUM(E45,F45,G45,H45)</f>
        <v>30320073</v>
      </c>
      <c r="E57" s="20">
        <f>D45+I45+J45</f>
        <v>35574000.000000007</v>
      </c>
      <c r="F57" s="37">
        <f>1/(1+F53)^C57</f>
        <v>0.75131480090157754</v>
      </c>
      <c r="G57" s="25">
        <f t="shared" si="6"/>
        <v>22779919.609316297</v>
      </c>
      <c r="H57" s="25">
        <f t="shared" si="7"/>
        <v>26727272.727272727</v>
      </c>
      <c r="I57" s="25">
        <f t="shared" si="8"/>
        <v>3947353.1179564297</v>
      </c>
      <c r="J57" s="34"/>
      <c r="K57" s="17"/>
    </row>
    <row r="58" spans="3:11">
      <c r="C58" s="18">
        <v>4</v>
      </c>
      <c r="D58" s="20">
        <f>SUM(E46,F46,G46,H46)</f>
        <v>31836076.649999999</v>
      </c>
      <c r="E58" s="20">
        <f>D46+I46+J46</f>
        <v>39131400.000000015</v>
      </c>
      <c r="F58" s="37">
        <f>1/(1+F53)^C58</f>
        <v>0.68301345536507052</v>
      </c>
      <c r="G58" s="25">
        <f t="shared" si="6"/>
        <v>21744468.717983738</v>
      </c>
      <c r="H58" s="25">
        <f t="shared" si="7"/>
        <v>26727272.72727273</v>
      </c>
      <c r="I58" s="25">
        <f t="shared" si="8"/>
        <v>4982804.0092889927</v>
      </c>
      <c r="J58" s="34"/>
      <c r="K58" s="17"/>
    </row>
    <row r="59" spans="3:11">
      <c r="C59" s="18">
        <v>5</v>
      </c>
      <c r="D59" s="20">
        <f>SUM(E47,F47,G47,H47)</f>
        <v>33427880.482500002</v>
      </c>
      <c r="E59" s="20">
        <f>D47+I47+J47</f>
        <v>56544540.000000022</v>
      </c>
      <c r="F59" s="37">
        <f>1/(1+F53)^C59</f>
        <v>0.62092132305915493</v>
      </c>
      <c r="G59" s="25">
        <f t="shared" si="6"/>
        <v>20756083.776257202</v>
      </c>
      <c r="H59" s="25">
        <f t="shared" si="7"/>
        <v>35109710.588571325</v>
      </c>
      <c r="I59" s="25">
        <f t="shared" si="8"/>
        <v>14353626.812314123</v>
      </c>
      <c r="J59" s="34"/>
      <c r="K59" s="17"/>
    </row>
    <row r="60" spans="3:11">
      <c r="C60" s="82" t="s">
        <v>46</v>
      </c>
      <c r="D60" s="83">
        <f>SUM(D54:D58)</f>
        <v>145533609.65000001</v>
      </c>
      <c r="E60" s="83">
        <f>SUM(E54:E59)</f>
        <v>192989940.00000003</v>
      </c>
      <c r="F60" s="83"/>
      <c r="G60" s="84">
        <f>SUM(G54:G59)</f>
        <v>141146240.69859856</v>
      </c>
      <c r="H60" s="84">
        <f>SUM(H54:H59)</f>
        <v>142018801.49766225</v>
      </c>
      <c r="I60" s="84">
        <f>SUM(I54:I59)</f>
        <v>872560.79906367883</v>
      </c>
      <c r="J60" s="38"/>
      <c r="K60" s="39"/>
    </row>
    <row r="61" spans="3:11">
      <c r="C61" s="40"/>
      <c r="D61" s="41"/>
      <c r="E61" s="41"/>
      <c r="F61" s="41"/>
      <c r="G61" s="41"/>
      <c r="H61" s="41"/>
      <c r="I61" s="41"/>
      <c r="J61" s="42"/>
      <c r="K61" s="43"/>
    </row>
    <row r="62" spans="3:11" ht="15.75" thickBot="1">
      <c r="C62" s="34"/>
      <c r="D62" s="44" t="s">
        <v>47</v>
      </c>
      <c r="E62" s="44"/>
      <c r="F62" s="44"/>
      <c r="G62" s="44"/>
      <c r="H62" s="44"/>
      <c r="I62" s="44"/>
      <c r="J62" s="34"/>
      <c r="K62" s="17"/>
    </row>
    <row r="63" spans="3:11" ht="15.75" thickTop="1">
      <c r="C63" s="34"/>
      <c r="D63" s="34"/>
      <c r="E63" s="58" t="s">
        <v>48</v>
      </c>
      <c r="F63" s="59">
        <f>I60</f>
        <v>872560.79906367883</v>
      </c>
      <c r="G63" s="45" t="str">
        <f>IF(F63&gt;0,"Se acepta","Se rechaza")</f>
        <v>Se acepta</v>
      </c>
      <c r="H63" s="46"/>
      <c r="I63" s="46"/>
      <c r="J63" s="34"/>
      <c r="K63" s="17"/>
    </row>
    <row r="64" spans="3:11">
      <c r="C64" s="34"/>
      <c r="D64" s="34"/>
      <c r="E64" s="60" t="s">
        <v>49</v>
      </c>
      <c r="F64" s="61">
        <f>IRR((E54:E59)-(D54:D59))</f>
        <v>0.10883551564802899</v>
      </c>
      <c r="G64" s="45" t="str">
        <f>IF(F64&gt;F53,"Se acepta","Se rechaza")</f>
        <v>Se acepta</v>
      </c>
      <c r="H64" s="46"/>
      <c r="I64" s="46"/>
      <c r="J64" s="34"/>
      <c r="K64" s="17"/>
    </row>
    <row r="65" spans="3:11" ht="15.75" thickBot="1">
      <c r="C65" s="34"/>
      <c r="D65" s="34"/>
      <c r="E65" s="62" t="s">
        <v>50</v>
      </c>
      <c r="F65" s="63">
        <f>H60/G60</f>
        <v>1.0061819627270623</v>
      </c>
      <c r="G65" s="45" t="str">
        <f>IF(F65&gt;=1,"Se acepta","Se rechaza")</f>
        <v>Se acepta</v>
      </c>
      <c r="H65" s="46"/>
      <c r="I65" s="46"/>
      <c r="J65" s="16"/>
      <c r="K65" s="17"/>
    </row>
    <row r="66" spans="3:11" ht="15.75" thickTop="1">
      <c r="C66" s="64"/>
      <c r="D66" s="64"/>
      <c r="E66" s="64"/>
      <c r="F66" s="64"/>
      <c r="G66" s="64"/>
      <c r="H66" s="64"/>
      <c r="I66" s="64"/>
      <c r="J66" s="64"/>
      <c r="K66" s="64"/>
    </row>
  </sheetData>
  <mergeCells count="4">
    <mergeCell ref="C37:K37"/>
    <mergeCell ref="E39:H39"/>
    <mergeCell ref="K39:K41"/>
    <mergeCell ref="E35:H35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 name</dc:creator>
  <cp:lastModifiedBy>prosalafa5294</cp:lastModifiedBy>
  <dcterms:created xsi:type="dcterms:W3CDTF">2017-10-14T11:09:59Z</dcterms:created>
  <dcterms:modified xsi:type="dcterms:W3CDTF">2017-10-18T02:56:24Z</dcterms:modified>
</cp:coreProperties>
</file>