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9440" windowHeight="7485" tabRatio="895"/>
  </bookViews>
  <sheets>
    <sheet name="EstructuraFinanc" sheetId="12" r:id="rId1"/>
    <sheet name="PaqueteTecn" sheetId="1" r:id="rId2"/>
    <sheet name="Acopio" sheetId="17" r:id="rId3"/>
    <sheet name="Costos" sheetId="3" r:id="rId4"/>
    <sheet name="Ingresos" sheetId="4" r:id="rId5"/>
    <sheet name="Edo.Res" sheetId="5" r:id="rId6"/>
    <sheet name="Eva.Fin" sheetId="7" r:id="rId7"/>
    <sheet name="Cap.Trabajo" sheetId="8" r:id="rId8"/>
    <sheet name="PeriodoRecup" sheetId="9" r:id="rId9"/>
    <sheet name="PuntoEqui" sheetId="10" r:id="rId10"/>
    <sheet name="Deprec" sheetId="13" r:id="rId11"/>
    <sheet name="Flujo ANUAL" sheetId="16" r:id="rId12"/>
    <sheet name="MAS CORRIDAS" sheetId="18" r:id="rId13"/>
  </sheets>
  <calcPr calcId="145621"/>
</workbook>
</file>

<file path=xl/calcChain.xml><?xml version="1.0" encoding="utf-8"?>
<calcChain xmlns="http://schemas.openxmlformats.org/spreadsheetml/2006/main">
  <c r="C11" i="4" l="1"/>
  <c r="B7" i="3" l="1"/>
  <c r="G52" i="1"/>
  <c r="H52" i="1" s="1"/>
  <c r="C7" i="4"/>
  <c r="C9" i="4" s="1"/>
  <c r="C23" i="3"/>
  <c r="D23" i="3" s="1"/>
  <c r="E23" i="3" s="1"/>
  <c r="F23" i="3" s="1"/>
  <c r="G23" i="3" s="1"/>
  <c r="C14" i="17"/>
  <c r="O11" i="17"/>
  <c r="D10" i="17"/>
  <c r="B10" i="17"/>
  <c r="B14" i="17" s="1"/>
  <c r="O7" i="17"/>
  <c r="D6" i="17"/>
  <c r="E6" i="17" s="1"/>
  <c r="C7" i="3" l="1"/>
  <c r="D7" i="3" s="1"/>
  <c r="E7" i="3" s="1"/>
  <c r="F7" i="3" s="1"/>
  <c r="G7" i="3" s="1"/>
  <c r="C14" i="4"/>
  <c r="D9" i="4"/>
  <c r="C18" i="17"/>
  <c r="D14" i="17"/>
  <c r="D18" i="17" s="1"/>
  <c r="E10" i="17"/>
  <c r="F6" i="17"/>
  <c r="F10" i="17"/>
  <c r="E14" i="17"/>
  <c r="E9" i="4" l="1"/>
  <c r="G6" i="17"/>
  <c r="H6" i="17" s="1"/>
  <c r="I6" i="17" s="1"/>
  <c r="J6" i="17" s="1"/>
  <c r="K6" i="17" s="1"/>
  <c r="L6" i="17" s="1"/>
  <c r="M6" i="17" s="1"/>
  <c r="N6" i="17" s="1"/>
  <c r="O6" i="17"/>
  <c r="F14" i="17"/>
  <c r="G10" i="17"/>
  <c r="F9" i="4" l="1"/>
  <c r="H10" i="17"/>
  <c r="G14" i="17"/>
  <c r="E18" i="17"/>
  <c r="F18" i="17"/>
  <c r="G9" i="4" l="1"/>
  <c r="G18" i="17"/>
  <c r="H14" i="17"/>
  <c r="I10" i="17"/>
  <c r="I14" i="17" l="1"/>
  <c r="J10" i="17"/>
  <c r="I18" i="17" l="1"/>
  <c r="H18" i="17"/>
  <c r="J14" i="17"/>
  <c r="K10" i="17"/>
  <c r="L10" i="17" l="1"/>
  <c r="K14" i="17"/>
  <c r="K18" i="17" l="1"/>
  <c r="J18" i="17"/>
  <c r="L14" i="17"/>
  <c r="M10" i="17"/>
  <c r="M14" i="17" l="1"/>
  <c r="N10" i="17"/>
  <c r="L18" i="17"/>
  <c r="M18" i="17" l="1"/>
  <c r="N14" i="17"/>
  <c r="O14" i="17" s="1"/>
  <c r="C22" i="3" s="1"/>
  <c r="D22" i="3" s="1"/>
  <c r="E22" i="3" s="1"/>
  <c r="F22" i="3" s="1"/>
  <c r="G22" i="3" s="1"/>
  <c r="O10" i="17"/>
  <c r="N18" i="17" l="1"/>
  <c r="O18" i="17" s="1"/>
  <c r="H26" i="12" l="1"/>
  <c r="H24" i="12"/>
  <c r="C18" i="16"/>
  <c r="H18" i="12"/>
  <c r="H17" i="12"/>
  <c r="F12" i="12"/>
  <c r="H12" i="12" s="1"/>
  <c r="H11" i="12"/>
  <c r="F11" i="12"/>
  <c r="G8" i="1"/>
  <c r="B8" i="13"/>
  <c r="C8" i="13"/>
  <c r="D8" i="13"/>
  <c r="E8" i="13"/>
  <c r="B9" i="13"/>
  <c r="C9" i="13"/>
  <c r="D9" i="13"/>
  <c r="E9" i="13"/>
  <c r="B10" i="13"/>
  <c r="C10" i="13"/>
  <c r="D10" i="13"/>
  <c r="E10" i="13"/>
  <c r="B11" i="13"/>
  <c r="C11" i="13"/>
  <c r="D11" i="13"/>
  <c r="E11" i="13"/>
  <c r="B12" i="13"/>
  <c r="C12" i="13"/>
  <c r="D12" i="13"/>
  <c r="E12" i="13"/>
  <c r="B13" i="13"/>
  <c r="C13" i="13"/>
  <c r="D13" i="13"/>
  <c r="E13" i="13"/>
  <c r="C7" i="13"/>
  <c r="D7" i="13"/>
  <c r="E7" i="13"/>
  <c r="B7" i="13"/>
  <c r="B2" i="3"/>
  <c r="B1" i="4" s="1"/>
  <c r="B3" i="13" s="1"/>
  <c r="D7" i="4"/>
  <c r="E7" i="4" s="1"/>
  <c r="F7" i="4" s="1"/>
  <c r="G7" i="4" s="1"/>
  <c r="B21" i="3"/>
  <c r="B20" i="3"/>
  <c r="B19" i="3"/>
  <c r="B18" i="3"/>
  <c r="B17" i="3"/>
  <c r="B16" i="3"/>
  <c r="B15" i="3"/>
  <c r="B14" i="3"/>
  <c r="G31" i="1"/>
  <c r="G30" i="1"/>
  <c r="G34" i="1"/>
  <c r="G35" i="1"/>
  <c r="G36" i="1"/>
  <c r="G37" i="1"/>
  <c r="G38" i="1"/>
  <c r="G20" i="1"/>
  <c r="G21" i="1"/>
  <c r="G22" i="1"/>
  <c r="G25" i="1"/>
  <c r="G26" i="1"/>
  <c r="G27" i="1"/>
  <c r="G17" i="1"/>
  <c r="G16" i="1"/>
  <c r="F19" i="12"/>
  <c r="G19" i="12" s="1"/>
  <c r="F6" i="12"/>
  <c r="H6" i="12" s="1"/>
  <c r="F7" i="12"/>
  <c r="H7" i="12" s="1"/>
  <c r="F8" i="12"/>
  <c r="H8" i="12" s="1"/>
  <c r="F9" i="12"/>
  <c r="H9" i="12" s="1"/>
  <c r="F10" i="12"/>
  <c r="H10" i="12" s="1"/>
  <c r="F13" i="12"/>
  <c r="F18" i="12"/>
  <c r="G33" i="1" l="1"/>
  <c r="G29" i="1"/>
  <c r="G24" i="1"/>
  <c r="I24" i="1" s="1"/>
  <c r="G19" i="1"/>
  <c r="G15" i="1"/>
  <c r="I15" i="1" s="1"/>
  <c r="F11" i="13"/>
  <c r="H11" i="13" s="1"/>
  <c r="I11" i="13" s="1"/>
  <c r="J11" i="13" s="1"/>
  <c r="F13" i="13"/>
  <c r="H13" i="13" s="1"/>
  <c r="I13" i="13" s="1"/>
  <c r="J13" i="13" s="1"/>
  <c r="F12" i="13"/>
  <c r="H12" i="13" s="1"/>
  <c r="I12" i="13" s="1"/>
  <c r="J12" i="13" s="1"/>
  <c r="F10" i="13"/>
  <c r="F9" i="13"/>
  <c r="F8" i="13"/>
  <c r="D11" i="4"/>
  <c r="G53" i="1"/>
  <c r="G54" i="1"/>
  <c r="G55" i="1"/>
  <c r="G51" i="1"/>
  <c r="E11" i="4" l="1"/>
  <c r="D14" i="4"/>
  <c r="C16" i="3"/>
  <c r="I19" i="1"/>
  <c r="C18" i="3"/>
  <c r="I29" i="1"/>
  <c r="C19" i="3"/>
  <c r="I33" i="1"/>
  <c r="C17" i="3"/>
  <c r="D17" i="3" s="1"/>
  <c r="E17" i="3" s="1"/>
  <c r="F17" i="3" s="1"/>
  <c r="G17" i="3" s="1"/>
  <c r="C6" i="3"/>
  <c r="H51" i="1"/>
  <c r="C9" i="3"/>
  <c r="H54" i="1"/>
  <c r="C8" i="3"/>
  <c r="H53" i="1"/>
  <c r="C15" i="3"/>
  <c r="C10" i="3"/>
  <c r="H55" i="1"/>
  <c r="G44" i="1"/>
  <c r="G43" i="1"/>
  <c r="G42" i="1"/>
  <c r="G40" i="1"/>
  <c r="G39" i="1"/>
  <c r="D19" i="3"/>
  <c r="E19" i="3" s="1"/>
  <c r="F19" i="3" s="1"/>
  <c r="G19" i="3" s="1"/>
  <c r="D18" i="3"/>
  <c r="E18" i="3" s="1"/>
  <c r="F18" i="3" s="1"/>
  <c r="G18" i="3" s="1"/>
  <c r="G13" i="1"/>
  <c r="I13" i="1" s="1"/>
  <c r="G10" i="1"/>
  <c r="G9" i="1"/>
  <c r="E26" i="7"/>
  <c r="E23" i="7"/>
  <c r="E24" i="7"/>
  <c r="E25" i="7"/>
  <c r="E22" i="7"/>
  <c r="E21" i="7"/>
  <c r="F11" i="4" l="1"/>
  <c r="E14" i="4"/>
  <c r="D15" i="3"/>
  <c r="E15" i="3" s="1"/>
  <c r="F15" i="3" s="1"/>
  <c r="G15" i="3" s="1"/>
  <c r="H7" i="8"/>
  <c r="N7" i="8" s="1"/>
  <c r="D10" i="16"/>
  <c r="D13" i="16" s="1"/>
  <c r="G12" i="1"/>
  <c r="E24" i="12" s="1"/>
  <c r="C14" i="3"/>
  <c r="D14" i="3" s="1"/>
  <c r="E14" i="3" s="1"/>
  <c r="F14" i="3" s="1"/>
  <c r="G14" i="3" s="1"/>
  <c r="D16" i="3"/>
  <c r="E16" i="3" s="1"/>
  <c r="F16" i="3" s="1"/>
  <c r="G16" i="3" s="1"/>
  <c r="G7" i="1"/>
  <c r="I7" i="1" s="1"/>
  <c r="E10" i="16"/>
  <c r="E13" i="16" s="1"/>
  <c r="G41" i="1"/>
  <c r="G11" i="4" l="1"/>
  <c r="G14" i="4" s="1"/>
  <c r="F14" i="4"/>
  <c r="C21" i="3"/>
  <c r="D21" i="3" s="1"/>
  <c r="E21" i="3" s="1"/>
  <c r="F21" i="3" s="1"/>
  <c r="G21" i="3" s="1"/>
  <c r="I41" i="1"/>
  <c r="C20" i="3"/>
  <c r="D20" i="3" s="1"/>
  <c r="E20" i="3" s="1"/>
  <c r="F20" i="3" s="1"/>
  <c r="G20" i="3" s="1"/>
  <c r="G47" i="1"/>
  <c r="F10" i="16"/>
  <c r="F13" i="16" s="1"/>
  <c r="I47" i="1" l="1"/>
  <c r="H10" i="16"/>
  <c r="G10" i="16"/>
  <c r="G13" i="16" s="1"/>
  <c r="F7" i="13"/>
  <c r="F14" i="13" s="1"/>
  <c r="F17" i="12"/>
  <c r="G21" i="12" s="1"/>
  <c r="D21" i="7"/>
  <c r="H21" i="12" l="1"/>
  <c r="F21" i="12"/>
  <c r="F9" i="7" s="1"/>
  <c r="H10" i="13"/>
  <c r="I10" i="13" s="1"/>
  <c r="J10" i="13" s="1"/>
  <c r="H8" i="13"/>
  <c r="H9" i="13"/>
  <c r="I9" i="13" s="1"/>
  <c r="J9" i="13" s="1"/>
  <c r="F14" i="12"/>
  <c r="C17" i="16" s="1"/>
  <c r="H7" i="13"/>
  <c r="G14" i="12"/>
  <c r="G21" i="7"/>
  <c r="E9" i="7" l="1"/>
  <c r="I8" i="13"/>
  <c r="H14" i="13"/>
  <c r="H14" i="12"/>
  <c r="I7" i="13"/>
  <c r="J8" i="13" l="1"/>
  <c r="I14" i="13"/>
  <c r="J7" i="13"/>
  <c r="J14" i="13" l="1"/>
  <c r="H14" i="7" l="1"/>
  <c r="H11" i="16"/>
  <c r="H13" i="16" s="1"/>
  <c r="C14" i="7"/>
  <c r="D26" i="7" l="1"/>
  <c r="G26" i="7" s="1"/>
  <c r="D9" i="3" l="1"/>
  <c r="E9" i="3" s="1"/>
  <c r="F9" i="3" s="1"/>
  <c r="G9" i="3" s="1"/>
  <c r="D10" i="3"/>
  <c r="E10" i="3" s="1"/>
  <c r="F10" i="3" s="1"/>
  <c r="G10" i="3" s="1"/>
  <c r="D6" i="3" l="1"/>
  <c r="E6" i="3" s="1"/>
  <c r="F6" i="3" s="1"/>
  <c r="G6" i="3" s="1"/>
  <c r="D8" i="3" l="1"/>
  <c r="E8" i="3" s="1"/>
  <c r="F8" i="3" s="1"/>
  <c r="G8" i="3" s="1"/>
  <c r="C11" i="3" l="1"/>
  <c r="C12" i="5" l="1"/>
  <c r="E25" i="12"/>
  <c r="F25" i="12" s="1"/>
  <c r="G25" i="12" s="1"/>
  <c r="C9" i="8"/>
  <c r="D9" i="8" s="1"/>
  <c r="D7" i="10"/>
  <c r="D11" i="3"/>
  <c r="E7" i="10" l="1"/>
  <c r="D12" i="5"/>
  <c r="E11" i="3"/>
  <c r="E9" i="8"/>
  <c r="F7" i="10" l="1"/>
  <c r="E12" i="5"/>
  <c r="G11" i="3"/>
  <c r="G12" i="5" s="1"/>
  <c r="F9" i="8"/>
  <c r="F11" i="3"/>
  <c r="G7" i="10" l="1"/>
  <c r="F12" i="5"/>
  <c r="G9" i="8"/>
  <c r="H7" i="10"/>
  <c r="H9" i="8" l="1"/>
  <c r="I9" i="8" l="1"/>
  <c r="D24" i="3" l="1"/>
  <c r="D8" i="5" s="1"/>
  <c r="E21" i="16" s="1"/>
  <c r="C24" i="3"/>
  <c r="C8" i="5" s="1"/>
  <c r="D21" i="16" s="1"/>
  <c r="J9" i="8"/>
  <c r="E24" i="3" l="1"/>
  <c r="E8" i="5" s="1"/>
  <c r="F21" i="16" s="1"/>
  <c r="D8" i="10"/>
  <c r="D26" i="3"/>
  <c r="E8" i="10"/>
  <c r="C10" i="8"/>
  <c r="C26" i="3"/>
  <c r="K9" i="8"/>
  <c r="F24" i="3" l="1"/>
  <c r="F8" i="5" s="1"/>
  <c r="G21" i="16" s="1"/>
  <c r="E26" i="3"/>
  <c r="F8" i="10"/>
  <c r="L9" i="8"/>
  <c r="D10" i="8"/>
  <c r="C12" i="8"/>
  <c r="G24" i="3" l="1"/>
  <c r="G8" i="5" s="1"/>
  <c r="H21" i="16" s="1"/>
  <c r="C11" i="7"/>
  <c r="D6" i="10"/>
  <c r="D11" i="10" s="1"/>
  <c r="D13" i="10" s="1"/>
  <c r="C10" i="7"/>
  <c r="C7" i="5"/>
  <c r="C10" i="5" s="1"/>
  <c r="C15" i="5" s="1"/>
  <c r="C21" i="5" s="1"/>
  <c r="F26" i="3"/>
  <c r="G8" i="10"/>
  <c r="C15" i="8"/>
  <c r="C16" i="8" s="1"/>
  <c r="E10" i="8"/>
  <c r="D12" i="8"/>
  <c r="M9" i="8"/>
  <c r="C24" i="5" l="1"/>
  <c r="D24" i="16" s="1"/>
  <c r="D26" i="16" s="1"/>
  <c r="D28" i="16" s="1"/>
  <c r="D22" i="7"/>
  <c r="G22" i="7" s="1"/>
  <c r="D23" i="7"/>
  <c r="G23" i="7" s="1"/>
  <c r="G26" i="3"/>
  <c r="E6" i="10"/>
  <c r="E11" i="10" s="1"/>
  <c r="E13" i="10" s="1"/>
  <c r="D7" i="5"/>
  <c r="D10" i="5" s="1"/>
  <c r="D15" i="5" s="1"/>
  <c r="D21" i="5" s="1"/>
  <c r="D15" i="8"/>
  <c r="D16" i="8" s="1"/>
  <c r="H8" i="10"/>
  <c r="F10" i="8"/>
  <c r="E12" i="8"/>
  <c r="N9" i="8"/>
  <c r="D24" i="5" l="1"/>
  <c r="E24" i="16" s="1"/>
  <c r="E26" i="16" s="1"/>
  <c r="E28" i="16" s="1"/>
  <c r="E15" i="8"/>
  <c r="E16" i="8" s="1"/>
  <c r="C29" i="5"/>
  <c r="D10" i="7" s="1"/>
  <c r="C26" i="5"/>
  <c r="F6" i="10"/>
  <c r="F11" i="10" s="1"/>
  <c r="F13" i="10" s="1"/>
  <c r="E7" i="5"/>
  <c r="E10" i="5" s="1"/>
  <c r="E15" i="5" s="1"/>
  <c r="E21" i="5" s="1"/>
  <c r="C12" i="7"/>
  <c r="O7" i="8"/>
  <c r="O9" i="8"/>
  <c r="G10" i="8"/>
  <c r="F12" i="8"/>
  <c r="F15" i="8" s="1"/>
  <c r="D29" i="5" l="1"/>
  <c r="D11" i="7" s="1"/>
  <c r="D24" i="7"/>
  <c r="G24" i="7" s="1"/>
  <c r="D26" i="5"/>
  <c r="G7" i="5"/>
  <c r="G10" i="5" s="1"/>
  <c r="G15" i="5" s="1"/>
  <c r="G21" i="5" s="1"/>
  <c r="H6" i="10"/>
  <c r="H11" i="10" s="1"/>
  <c r="H13" i="10" s="1"/>
  <c r="C13" i="7"/>
  <c r="G6" i="10"/>
  <c r="G11" i="10" s="1"/>
  <c r="G13" i="10" s="1"/>
  <c r="F7" i="5"/>
  <c r="F10" i="5" s="1"/>
  <c r="F15" i="5" s="1"/>
  <c r="F21" i="5" s="1"/>
  <c r="E24" i="5"/>
  <c r="F24" i="16" s="1"/>
  <c r="F26" i="16" s="1"/>
  <c r="F28" i="16" s="1"/>
  <c r="F16" i="8"/>
  <c r="H10" i="8"/>
  <c r="G12" i="8"/>
  <c r="G24" i="5" l="1"/>
  <c r="H24" i="16" s="1"/>
  <c r="H26" i="16" s="1"/>
  <c r="H28" i="16" s="1"/>
  <c r="J11" i="7"/>
  <c r="C23" i="7"/>
  <c r="F23" i="7" s="1"/>
  <c r="H23" i="7" s="1"/>
  <c r="E4" i="9" s="1"/>
  <c r="D25" i="7"/>
  <c r="G25" i="7" s="1"/>
  <c r="E29" i="5"/>
  <c r="D12" i="7" s="1"/>
  <c r="E26" i="5"/>
  <c r="F24" i="5"/>
  <c r="G24" i="16" s="1"/>
  <c r="G26" i="16" s="1"/>
  <c r="G28" i="16" s="1"/>
  <c r="G15" i="8"/>
  <c r="G16" i="8" s="1"/>
  <c r="I10" i="8"/>
  <c r="H12" i="8"/>
  <c r="H15" i="8" s="1"/>
  <c r="G29" i="5" l="1"/>
  <c r="D14" i="7" s="1"/>
  <c r="C26" i="7" s="1"/>
  <c r="F26" i="7" s="1"/>
  <c r="H26" i="7" s="1"/>
  <c r="H4" i="9" s="1"/>
  <c r="J12" i="7"/>
  <c r="G26" i="5"/>
  <c r="F29" i="5"/>
  <c r="D13" i="7" s="1"/>
  <c r="H16" i="8"/>
  <c r="F26" i="5"/>
  <c r="C24" i="7"/>
  <c r="F24" i="7" s="1"/>
  <c r="H24" i="7" s="1"/>
  <c r="F4" i="9" s="1"/>
  <c r="J10" i="8"/>
  <c r="I12" i="8"/>
  <c r="I15" i="8" s="1"/>
  <c r="J14" i="7" l="1"/>
  <c r="C25" i="7"/>
  <c r="F25" i="7" s="1"/>
  <c r="H25" i="7" s="1"/>
  <c r="G4" i="9" s="1"/>
  <c r="J13" i="7"/>
  <c r="I16" i="8"/>
  <c r="K10" i="8"/>
  <c r="J12" i="8"/>
  <c r="J15" i="8" s="1"/>
  <c r="J16" i="8" l="1"/>
  <c r="L10" i="8"/>
  <c r="K12" i="8"/>
  <c r="K15" i="8" s="1"/>
  <c r="K16" i="8" l="1"/>
  <c r="M10" i="8"/>
  <c r="L12" i="8"/>
  <c r="L15" i="8" s="1"/>
  <c r="L16" i="8" l="1"/>
  <c r="F24" i="12" s="1"/>
  <c r="N10" i="8"/>
  <c r="M12" i="8"/>
  <c r="M15" i="8" s="1"/>
  <c r="F26" i="12" l="1"/>
  <c r="C19" i="16" s="1"/>
  <c r="C26" i="16" s="1"/>
  <c r="G24" i="12"/>
  <c r="G26" i="12" s="1"/>
  <c r="G28" i="12" s="1"/>
  <c r="C7" i="16" s="1"/>
  <c r="H28" i="12"/>
  <c r="C6" i="16" s="1"/>
  <c r="M16" i="8"/>
  <c r="N12" i="8"/>
  <c r="O10" i="8"/>
  <c r="C13" i="16" l="1"/>
  <c r="C28" i="16" s="1"/>
  <c r="G9" i="7"/>
  <c r="F28" i="12"/>
  <c r="J10" i="7"/>
  <c r="C22" i="7"/>
  <c r="N15" i="8"/>
  <c r="N16" i="8" s="1"/>
  <c r="O12" i="8"/>
  <c r="O15" i="8" s="1"/>
  <c r="G30" i="12" l="1"/>
  <c r="J9" i="7"/>
  <c r="C21" i="7"/>
  <c r="F21" i="7" s="1"/>
  <c r="H21" i="7" s="1"/>
  <c r="C4" i="9" s="1"/>
  <c r="C5" i="9" s="1"/>
  <c r="H30" i="12"/>
  <c r="F30" i="12"/>
  <c r="F22" i="7"/>
  <c r="C27" i="7" l="1"/>
  <c r="E31" i="7"/>
  <c r="F31" i="7" s="1"/>
  <c r="H22" i="7"/>
  <c r="F27" i="7"/>
  <c r="D27" i="7"/>
  <c r="G27" i="7" l="1"/>
  <c r="E32" i="7" s="1"/>
  <c r="F32" i="7" s="1"/>
  <c r="D4" i="9"/>
  <c r="D5" i="9" s="1"/>
  <c r="E5" i="9" s="1"/>
  <c r="F5" i="9" s="1"/>
  <c r="G5" i="9" s="1"/>
  <c r="H5" i="9" s="1"/>
  <c r="H27" i="7" l="1"/>
  <c r="E30" i="7" s="1"/>
  <c r="F30" i="7" s="1"/>
</calcChain>
</file>

<file path=xl/sharedStrings.xml><?xml version="1.0" encoding="utf-8"?>
<sst xmlns="http://schemas.openxmlformats.org/spreadsheetml/2006/main" count="567" uniqueCount="483">
  <si>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</si>
  <si>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</si>
  <si>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</si>
  <si>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</si>
  <si>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</si>
  <si>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</si>
  <si>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</si>
  <si>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</si>
  <si>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</si>
  <si>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</si>
  <si>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</si>
  <si>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</si>
  <si>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Costos Fijos</t>
  </si>
  <si>
    <t>Subtotal</t>
  </si>
  <si>
    <t>Mantenimiento de equipo</t>
  </si>
  <si>
    <t>Costos Variables</t>
  </si>
  <si>
    <t>Promocion</t>
  </si>
  <si>
    <t>P r o y e c c i o n   A n u a l   d e   C o s t o s</t>
  </si>
  <si>
    <t>Año 1</t>
  </si>
  <si>
    <t>Año 2</t>
  </si>
  <si>
    <t>Año 3</t>
  </si>
  <si>
    <t>Año 4</t>
  </si>
  <si>
    <t>Año 5</t>
  </si>
  <si>
    <t>Conceptos/Año</t>
  </si>
  <si>
    <t>Presentacion/Año</t>
  </si>
  <si>
    <t>P r o y e c c i o n   A n u a l   d e   I n g r e s o s</t>
  </si>
  <si>
    <t>Ingresos Totales</t>
  </si>
  <si>
    <t>ESTADO DE RESULTADOS CONSOLIDADO PROYECTADO</t>
  </si>
  <si>
    <t>( PESOS )</t>
  </si>
  <si>
    <t>CONCEPTO/PERIODO</t>
  </si>
  <si>
    <t xml:space="preserve">P r o y e c t a d o s </t>
  </si>
  <si>
    <t>INGRESOS POR VENTAS</t>
  </si>
  <si>
    <t>COSTOS DE PRODUCCION</t>
  </si>
  <si>
    <t>UTILIDAD  BRUTA</t>
  </si>
  <si>
    <t>GASTOS DE ADMINISTRACION Y VENTAS</t>
  </si>
  <si>
    <t>UTILIDAD DE OPERACIÓN</t>
  </si>
  <si>
    <t>Reintegros</t>
  </si>
  <si>
    <t>Intereses</t>
  </si>
  <si>
    <t xml:space="preserve">UTILIDADES ANTES DE IMPUESTOS </t>
  </si>
  <si>
    <t xml:space="preserve">P.T.U. (10%) </t>
  </si>
  <si>
    <t xml:space="preserve">UTILIDAD NETA </t>
  </si>
  <si>
    <t>EVALUACION FINANCIERA</t>
  </si>
  <si>
    <t>INDICADORES FINANCIEROS</t>
  </si>
  <si>
    <t>FLUJO NETO DE EFECTIVO</t>
  </si>
  <si>
    <t>Inversiones para el proyecto</t>
  </si>
  <si>
    <t>Valor de Rescate</t>
  </si>
  <si>
    <t>Flujo Neto de Efectivo</t>
  </si>
  <si>
    <t>Año de</t>
  </si>
  <si>
    <t>Ingresos</t>
  </si>
  <si>
    <t>Egresos</t>
  </si>
  <si>
    <t>Fija</t>
  </si>
  <si>
    <t>Diferida</t>
  </si>
  <si>
    <t>Cap de trab.</t>
  </si>
  <si>
    <t xml:space="preserve">Valor </t>
  </si>
  <si>
    <t>Recup. De</t>
  </si>
  <si>
    <t>operación</t>
  </si>
  <si>
    <t>totales*</t>
  </si>
  <si>
    <t>totales</t>
  </si>
  <si>
    <t>Residual</t>
  </si>
  <si>
    <t>cap. De Trab.</t>
  </si>
  <si>
    <t>CALCULO DEL VAN,  R B/C Y TIR CON UNA TASA DE DESCUENTO DEL 10%</t>
  </si>
  <si>
    <t>Año</t>
  </si>
  <si>
    <t>Costos</t>
  </si>
  <si>
    <t>Beneficios</t>
  </si>
  <si>
    <t>Factor de</t>
  </si>
  <si>
    <t>Flujo neto de</t>
  </si>
  <si>
    <t>de</t>
  </si>
  <si>
    <t>actualización</t>
  </si>
  <si>
    <t>actualizados</t>
  </si>
  <si>
    <t>efectivo act.</t>
  </si>
  <si>
    <t>($)</t>
  </si>
  <si>
    <t>Los indicadores financieros que arroja el proyecto son:</t>
  </si>
  <si>
    <t>VAN=</t>
  </si>
  <si>
    <t>TIR =</t>
  </si>
  <si>
    <t>B/C =</t>
  </si>
  <si>
    <t xml:space="preserve"> </t>
  </si>
  <si>
    <t xml:space="preserve">CALCULO DE CAPITAL DE TRABAJO </t>
  </si>
  <si>
    <t>CONCEPTO</t>
  </si>
  <si>
    <t xml:space="preserve">MESES PRIMER AÑO </t>
  </si>
  <si>
    <t xml:space="preserve">Ene </t>
  </si>
  <si>
    <t xml:space="preserve">TOTAL </t>
  </si>
  <si>
    <t xml:space="preserve">INGRESOS </t>
  </si>
  <si>
    <t>Por Ventas</t>
  </si>
  <si>
    <t>EGRESOS</t>
  </si>
  <si>
    <t>Total Egresos</t>
  </si>
  <si>
    <t xml:space="preserve">Flujo de </t>
  </si>
  <si>
    <t>Efectivo</t>
  </si>
  <si>
    <t>Efectivo Acumulado</t>
  </si>
  <si>
    <t>PERÍODO DE RECUPERACIÓN DE LA INVERSION</t>
  </si>
  <si>
    <t>FLUJO ACT.</t>
  </si>
  <si>
    <t>SALDO</t>
  </si>
  <si>
    <t xml:space="preserve">El ultimo saldo negativo corresponde  </t>
  </si>
  <si>
    <t>al numero de años de recuperacion</t>
  </si>
  <si>
    <t>Periodo de recuperacion</t>
  </si>
  <si>
    <t>años</t>
  </si>
  <si>
    <t>Egresos Totales</t>
  </si>
  <si>
    <t>PUNTO DE EQUILIBRIO</t>
  </si>
  <si>
    <t>Concepto</t>
  </si>
  <si>
    <t>Punto de Equilibrio en valor  ($)</t>
  </si>
  <si>
    <t>Punto de Equilibrio en porcentaje</t>
  </si>
  <si>
    <t xml:space="preserve">Indica el % de ventas </t>
  </si>
  <si>
    <t xml:space="preserve">para cubrir los costos </t>
  </si>
  <si>
    <t>y no tener perdidas</t>
  </si>
  <si>
    <t>Capital de trabajo</t>
  </si>
  <si>
    <t>Aportaciones</t>
  </si>
  <si>
    <t>Unidad</t>
  </si>
  <si>
    <t>Cantidad</t>
  </si>
  <si>
    <t>P. Unitario</t>
  </si>
  <si>
    <t>Costo Total</t>
  </si>
  <si>
    <t>Grupo</t>
  </si>
  <si>
    <t>Inversion Fija</t>
  </si>
  <si>
    <t>Inversion Diferida</t>
  </si>
  <si>
    <t>Presupuesto</t>
  </si>
  <si>
    <t>Gran Total</t>
  </si>
  <si>
    <t>Porcentaje de participacion</t>
  </si>
  <si>
    <t>UNIDAD</t>
  </si>
  <si>
    <t>CANTIDAD</t>
  </si>
  <si>
    <t>COSTO          UNITARIO</t>
  </si>
  <si>
    <t>COSTO   TOTAL</t>
  </si>
  <si>
    <t>Años de Vida Util</t>
  </si>
  <si>
    <t xml:space="preserve"> Depreciacion Anual</t>
  </si>
  <si>
    <t>Drepreciacion en el periodo (5 Años)</t>
  </si>
  <si>
    <t>Valor  Residual</t>
  </si>
  <si>
    <t>jornal</t>
  </si>
  <si>
    <t>Flujo de Caja o Flujo de Efectivo Mensual</t>
  </si>
  <si>
    <t>Memorias de calculo</t>
  </si>
  <si>
    <t>PAQUETE TECNOLOGICO PROPUESTO para 1 ha.</t>
  </si>
  <si>
    <t>PRECIO UNITARIO</t>
  </si>
  <si>
    <t>TOTAL</t>
  </si>
  <si>
    <t>INSUMOS</t>
  </si>
  <si>
    <t>kg</t>
  </si>
  <si>
    <t>COSTO MENSUAL</t>
  </si>
  <si>
    <t>Rendimiento frijol grano (kg/HA)</t>
  </si>
  <si>
    <t>Costo Unitario</t>
  </si>
  <si>
    <t>Frecuencia</t>
  </si>
  <si>
    <t>Frijol (kg)</t>
  </si>
  <si>
    <t>Unidades de venta por presentacion de frijol</t>
  </si>
  <si>
    <t>presupuesto</t>
  </si>
  <si>
    <t>Motobomba centrifuga 5.5 hp</t>
  </si>
  <si>
    <t>equipo</t>
  </si>
  <si>
    <t>Manguera negra de 1 pulgada 100 m</t>
  </si>
  <si>
    <t>rollo</t>
  </si>
  <si>
    <t>Manguera negra de 2 pulgadas 100 m</t>
  </si>
  <si>
    <t>Manguera negra de 0.5 pulgada 100 m</t>
  </si>
  <si>
    <t>Mochila aspersora manual marca antarix</t>
  </si>
  <si>
    <t>Elaboracion de proyecto</t>
  </si>
  <si>
    <t>Capacitacion y asistencia tecnica</t>
  </si>
  <si>
    <t>Semilla frijol</t>
  </si>
  <si>
    <t>Insecticidas</t>
  </si>
  <si>
    <t>Folimat 1000</t>
  </si>
  <si>
    <t>Fipol</t>
  </si>
  <si>
    <t>l</t>
  </si>
  <si>
    <t>Fungicidas</t>
  </si>
  <si>
    <t>Promyl</t>
  </si>
  <si>
    <t>Captan</t>
  </si>
  <si>
    <t>Agrimicin 100</t>
  </si>
  <si>
    <t>Fertilizantes foliares</t>
  </si>
  <si>
    <t>Gro-green</t>
  </si>
  <si>
    <t>Bayfolan</t>
  </si>
  <si>
    <t>Agromil plus</t>
  </si>
  <si>
    <t>Herbicidas</t>
  </si>
  <si>
    <t>Faena</t>
  </si>
  <si>
    <t>Gramoxone</t>
  </si>
  <si>
    <t>Fertilizantes edaficos</t>
  </si>
  <si>
    <t>Fosfonitrato</t>
  </si>
  <si>
    <t>Fosfato diamonico</t>
  </si>
  <si>
    <t>Cloruro de potasio</t>
  </si>
  <si>
    <t>Biofertilizante</t>
  </si>
  <si>
    <t>Adherente</t>
  </si>
  <si>
    <t>bulto</t>
  </si>
  <si>
    <t>dosis</t>
  </si>
  <si>
    <t>Cultivo y Produccion de Frijol</t>
  </si>
  <si>
    <t>Labores Agricolas</t>
  </si>
  <si>
    <t>Mano de obra</t>
  </si>
  <si>
    <t>Administracion</t>
  </si>
  <si>
    <t>Ventas</t>
  </si>
  <si>
    <t>Precio  ($/kg) frijol grano</t>
  </si>
  <si>
    <t xml:space="preserve">Ventas </t>
  </si>
  <si>
    <t xml:space="preserve">Administrador general </t>
  </si>
  <si>
    <t>Anual</t>
  </si>
  <si>
    <t>Envasadora de frijol automatica</t>
  </si>
  <si>
    <t>TOTAL 25 Ha</t>
  </si>
  <si>
    <t>Rastra</t>
  </si>
  <si>
    <t>Nivelacion</t>
  </si>
  <si>
    <t>servicio</t>
  </si>
  <si>
    <t>Aplicación de herbicidas</t>
  </si>
  <si>
    <t>Aplicación de fertilizantes</t>
  </si>
  <si>
    <t>Aplicación de plaguicidas</t>
  </si>
  <si>
    <t>Proyeccion de Flujo de Efectivo Anualizado</t>
  </si>
  <si>
    <t>Año 0</t>
  </si>
  <si>
    <t>Entradas</t>
  </si>
  <si>
    <t>Programa</t>
  </si>
  <si>
    <t>Solicitante</t>
  </si>
  <si>
    <t>Otros</t>
  </si>
  <si>
    <t>Otros Ingresos</t>
  </si>
  <si>
    <t>Total de Entradas</t>
  </si>
  <si>
    <t>Salidas</t>
  </si>
  <si>
    <t>Inversiones</t>
  </si>
  <si>
    <t>Costos de produccion, administracion y ventas</t>
  </si>
  <si>
    <t>ISR</t>
  </si>
  <si>
    <t>PTU</t>
  </si>
  <si>
    <t>Total de Salidas</t>
  </si>
  <si>
    <t>Flujo N. E.</t>
  </si>
  <si>
    <t>Paquete tecnologico para el cultivo</t>
  </si>
  <si>
    <t>Servicios y otros</t>
  </si>
  <si>
    <t>Concepto/Mes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</si>
  <si>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</si>
  <si>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</si>
  <si>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</si>
  <si>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</si>
  <si>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</si>
  <si>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</si>
  <si>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</si>
  <si>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</si>
  <si>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</si>
  <si>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</si>
  <si>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</si>
  <si>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</si>
  <si>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Frijol</t>
  </si>
  <si>
    <t>Precio de Compra</t>
  </si>
  <si>
    <t>Costo por compra</t>
  </si>
  <si>
    <t>Costo total</t>
  </si>
  <si>
    <t>Volumen de compra (ton)</t>
  </si>
  <si>
    <t>Compra de frijol</t>
  </si>
  <si>
    <t>Costales y bolsas</t>
  </si>
  <si>
    <t>Costales de 50 kg</t>
  </si>
  <si>
    <t>Precio($/costal)</t>
  </si>
  <si>
    <t>Centro de acopio</t>
  </si>
  <si>
    <t>Mano de obra acopio y envasado</t>
  </si>
  <si>
    <t>Programa Federal</t>
  </si>
  <si>
    <t>Cultivo y produccion y Envasado de Frijol</t>
  </si>
  <si>
    <t>Numero de unidades del proyecto (HA)</t>
  </si>
  <si>
    <t>Acopio (frijol comprado a otro productores)</t>
  </si>
  <si>
    <t>lote</t>
  </si>
  <si>
    <t>Agroproyectos SC</t>
  </si>
  <si>
    <t>Catalogo de Corridas Financieras</t>
  </si>
  <si>
    <t>Precios de mayoreo:</t>
  </si>
  <si>
    <t>Producción de maíz</t>
  </si>
  <si>
    <t>Jitomate a campo abierto</t>
  </si>
  <si>
    <t>5 corridas financieras: $1,000.00</t>
  </si>
  <si>
    <t>Jitomate en invernadero o casa sombra</t>
  </si>
  <si>
    <t>10 corridas financieras:$2,000.00</t>
  </si>
  <si>
    <t>Melon en invernadero</t>
  </si>
  <si>
    <t>20 corridas financieras: $3,000.00</t>
  </si>
  <si>
    <t>Engorda de becerros</t>
  </si>
  <si>
    <t xml:space="preserve">Mas de 20 corridas? </t>
  </si>
  <si>
    <t xml:space="preserve">Consultorio medico </t>
  </si>
  <si>
    <r>
      <t xml:space="preserve">Cotizar al correo: </t>
    </r>
    <r>
      <rPr>
        <sz val="18"/>
        <color indexed="62"/>
        <rFont val="Calibri"/>
        <family val="2"/>
      </rPr>
      <t>contacto@agroproyectos.org</t>
    </r>
  </si>
  <si>
    <t>Bovinos de doble proposito</t>
  </si>
  <si>
    <t xml:space="preserve"> Tel: 01 784 88 140 25</t>
  </si>
  <si>
    <t>Vacas lecheras</t>
  </si>
  <si>
    <t>Chile piquin</t>
  </si>
  <si>
    <t>Quieres recibir más Corridas Gratis?</t>
  </si>
  <si>
    <t>SUSCRIBETE AQUÍ</t>
  </si>
  <si>
    <t xml:space="preserve">Cria de venado cola blanca </t>
  </si>
  <si>
    <t>Elaboracion de productos lacteos</t>
  </si>
  <si>
    <t>Pagina web:</t>
  </si>
  <si>
    <t>www.agroproyectos.org</t>
  </si>
  <si>
    <t>Producción y engorda de borregos</t>
  </si>
  <si>
    <t>Producción y engorda de cabras (chivos)</t>
  </si>
  <si>
    <t>Cabras lecheras</t>
  </si>
  <si>
    <t>Refaccionaria de motocicletas</t>
  </si>
  <si>
    <t>Elaboración de dulces de tamarindo</t>
  </si>
  <si>
    <t>Centro de fotocopiado</t>
  </si>
  <si>
    <t xml:space="preserve">Guarderia o estancia infantil   </t>
  </si>
  <si>
    <t>Producción de mojarra tilapia</t>
  </si>
  <si>
    <t>Miel apicola</t>
  </si>
  <si>
    <t>Cultivo de amaranto</t>
  </si>
  <si>
    <t>Cultivo de melón a campo abierto</t>
  </si>
  <si>
    <t>Empaque de melón</t>
  </si>
  <si>
    <t>Cultivo de sorgo</t>
  </si>
  <si>
    <t>Producción y engorda de cerdos</t>
  </si>
  <si>
    <t>Engorda de pollos</t>
  </si>
  <si>
    <t>Elaboración de salsas</t>
  </si>
  <si>
    <t>Silo</t>
  </si>
  <si>
    <t>Maiz para silo</t>
  </si>
  <si>
    <t>Adquisicion de tracto para cultivo de frijol</t>
  </si>
  <si>
    <t>Tienda de abarrotes</t>
  </si>
  <si>
    <t>Chile jalapeño a cielo abierto</t>
  </si>
  <si>
    <t xml:space="preserve">Cafeteria </t>
  </si>
  <si>
    <t>Industrializacion de mango</t>
  </si>
  <si>
    <t>Industrializacion de tamarindo</t>
  </si>
  <si>
    <t>Cocina economica</t>
  </si>
  <si>
    <t xml:space="preserve">Restaurant de truchas </t>
  </si>
  <si>
    <t xml:space="preserve">Comercializacion de articulos para el hogar </t>
  </si>
  <si>
    <t>Lechuga en invernadero</t>
  </si>
  <si>
    <t>Renta de inflables</t>
  </si>
  <si>
    <t xml:space="preserve">Produccion de plantulas de hortalizas en almacigo </t>
  </si>
  <si>
    <t xml:space="preserve">Clinica de depilacion </t>
  </si>
  <si>
    <t>Ecoturismo</t>
  </si>
  <si>
    <t xml:space="preserve">Cultivo y producción de vainilla </t>
  </si>
  <si>
    <t>Cultivo de pepino</t>
  </si>
  <si>
    <t>Construcción de cabañas y alberca</t>
  </si>
  <si>
    <t xml:space="preserve">Venta de materiales de plomeria </t>
  </si>
  <si>
    <t>Producción de blocks</t>
  </si>
  <si>
    <t>Farmacia</t>
  </si>
  <si>
    <t xml:space="preserve">Cultivo y producción de caña de azucar </t>
  </si>
  <si>
    <t>Panadería</t>
  </si>
  <si>
    <t>Comercializadora de materias primas</t>
  </si>
  <si>
    <t>Fresa en invernadero o hidroponia</t>
  </si>
  <si>
    <t>Molino para nixtamal (venta de masa)</t>
  </si>
  <si>
    <t>Carniceria</t>
  </si>
  <si>
    <t>Zapateria</t>
  </si>
  <si>
    <t>Purificadora de agua</t>
  </si>
  <si>
    <t>Polleria</t>
  </si>
  <si>
    <t>Becerros destetados</t>
  </si>
  <si>
    <t>Lombricomposta</t>
  </si>
  <si>
    <t xml:space="preserve">Acopio y reciclado de Pet y carton  </t>
  </si>
  <si>
    <t>Tortilleria de harina de trigo</t>
  </si>
  <si>
    <t>Acopio y empaque de zanahoria</t>
  </si>
  <si>
    <t>Tortilleria de maíz</t>
  </si>
  <si>
    <t>Cibercafe internet</t>
  </si>
  <si>
    <t>Ciber y papeleria</t>
  </si>
  <si>
    <t xml:space="preserve">Incubadora de pollitos </t>
  </si>
  <si>
    <t>Cultivo de Uva</t>
  </si>
  <si>
    <t>Acopio de limón persa</t>
  </si>
  <si>
    <t>Servicio de banquetes y renta de carpas</t>
  </si>
  <si>
    <t>Cultivo y producción de nuez (nogal)</t>
  </si>
  <si>
    <t>Estetica</t>
  </si>
  <si>
    <t xml:space="preserve">Elaboración de quesos y venta de leche </t>
  </si>
  <si>
    <t>Ferreteria</t>
  </si>
  <si>
    <t xml:space="preserve">Madereria </t>
  </si>
  <si>
    <t>Vivero de hule</t>
  </si>
  <si>
    <t>Vivero de plantas frutales</t>
  </si>
  <si>
    <t>Vivero de plantas de cafe</t>
  </si>
  <si>
    <t>Producción integral de verduras y hortalizas</t>
  </si>
  <si>
    <t>Vivero forestal</t>
  </si>
  <si>
    <t>Aguacate hass</t>
  </si>
  <si>
    <t xml:space="preserve">Tienda de ropa </t>
  </si>
  <si>
    <t>Tienda de ropa para bebe</t>
  </si>
  <si>
    <t>Acopio y empaque de frutas y hortalizas</t>
  </si>
  <si>
    <t xml:space="preserve">Cultivo y producción de nopal  </t>
  </si>
  <si>
    <t>Quesería</t>
  </si>
  <si>
    <t>Taller de herrería</t>
  </si>
  <si>
    <t>Acopio y beneficio de café</t>
  </si>
  <si>
    <t>Producción de plantulas de maguey</t>
  </si>
  <si>
    <t xml:space="preserve">Acopio y empaque de frutas y verduras </t>
  </si>
  <si>
    <t xml:space="preserve">Cultivo de mango haden </t>
  </si>
  <si>
    <t>Marroquineria (productos de piel y cuero)</t>
  </si>
  <si>
    <t>Agroforrajera</t>
  </si>
  <si>
    <t>Análisis clínicos</t>
  </si>
  <si>
    <t>Trucha</t>
  </si>
  <si>
    <t>Cultivo de cítricos</t>
  </si>
  <si>
    <t>Temazcal</t>
  </si>
  <si>
    <t>Dulces de amaranto</t>
  </si>
  <si>
    <t xml:space="preserve">Nopal en salmuera  </t>
  </si>
  <si>
    <t>Cultivo y producción de papaya</t>
  </si>
  <si>
    <t>Cultivo y beneficio de café</t>
  </si>
  <si>
    <t>Papelería</t>
  </si>
  <si>
    <t>Salón de eventos con banquetes</t>
  </si>
  <si>
    <t>Venta de productos Foamy</t>
  </si>
  <si>
    <t>Mercería</t>
  </si>
  <si>
    <t xml:space="preserve">Minisuper </t>
  </si>
  <si>
    <t>Cultivo de avena</t>
  </si>
  <si>
    <t>Pastelería</t>
  </si>
  <si>
    <t>Artesanías de madera</t>
  </si>
  <si>
    <t xml:space="preserve">Imprenta digital </t>
  </si>
  <si>
    <t>Cultivo de haba</t>
  </si>
  <si>
    <t>Taller de bicicletas</t>
  </si>
  <si>
    <t>Cultivo de granada</t>
  </si>
  <si>
    <t xml:space="preserve">Birria de chivo </t>
  </si>
  <si>
    <t>Producción de chile morrón</t>
  </si>
  <si>
    <t>Pinole</t>
  </si>
  <si>
    <t>Extracción de materiales pétreos</t>
  </si>
  <si>
    <t>Venta de hamburguesas</t>
  </si>
  <si>
    <t xml:space="preserve">Veterinaria </t>
  </si>
  <si>
    <t>Cultivo y producción de litchi</t>
  </si>
  <si>
    <t>Taller mecánico</t>
  </si>
  <si>
    <t>Taller de costura</t>
  </si>
  <si>
    <t>Camarón procesado</t>
  </si>
  <si>
    <t>Dulceria</t>
  </si>
  <si>
    <t>Empaque de zarzamora</t>
  </si>
  <si>
    <t xml:space="preserve">Autolavado, lavado de autos </t>
  </si>
  <si>
    <t>Elaboración de tostadas</t>
  </si>
  <si>
    <t>Renta de mobiliario</t>
  </si>
  <si>
    <t>Producción y venta de elote</t>
  </si>
  <si>
    <t>Producción y acopio de miel apicola</t>
  </si>
  <si>
    <t>Industrialización de chile habanero</t>
  </si>
  <si>
    <t>Chile habanero en invernadero</t>
  </si>
  <si>
    <t>Cría y engorda de guajolotes (pavos)</t>
  </si>
  <si>
    <t xml:space="preserve">Cultivo y producción de chile serrano </t>
  </si>
  <si>
    <t>Transformacion de pasta de pescado</t>
  </si>
  <si>
    <t>Producción y venta de Cabritos</t>
  </si>
  <si>
    <t>Floreria</t>
  </si>
  <si>
    <t>Jatropha curcas</t>
  </si>
  <si>
    <t xml:space="preserve">Cultivo de alfalfa forrajero </t>
  </si>
  <si>
    <t>Cultivo de arroz</t>
  </si>
  <si>
    <t>Minería-materiales petreos</t>
  </si>
  <si>
    <t>Recicladora de llantas</t>
  </si>
  <si>
    <t>Elaboración de pasta de mole</t>
  </si>
  <si>
    <t>Gallinas de postura</t>
  </si>
  <si>
    <t>Gallinas de doble proposito</t>
  </si>
  <si>
    <t>Elaboración de cacahuate japones</t>
  </si>
  <si>
    <t>Producción y comercialización de velas</t>
  </si>
  <si>
    <t>Producción y comercialización de veladoras</t>
  </si>
  <si>
    <t>Paletería: venta de aguas, paletas y nieves.</t>
  </si>
  <si>
    <t>Carpintería</t>
  </si>
  <si>
    <t>Masajes spa</t>
  </si>
  <si>
    <t>Cultivo de chayote</t>
  </si>
  <si>
    <t>Venta de productos desechables</t>
  </si>
  <si>
    <t>Producción de hongos frescos</t>
  </si>
  <si>
    <t>Cultivo y producción de hongo seta</t>
  </si>
  <si>
    <t>Rastro TIF</t>
  </si>
  <si>
    <t>Establecimiento y mantenimiento de cultivo de hule</t>
  </si>
  <si>
    <t xml:space="preserve">Incubadora de pollitos  </t>
  </si>
  <si>
    <t>Cultivo, producción y acopio de pimienta negra</t>
  </si>
  <si>
    <t>Industrialización de tomate a pure de tomate</t>
  </si>
  <si>
    <t xml:space="preserve">Elaboración de peluches </t>
  </si>
  <si>
    <t xml:space="preserve">Cultivo y producción de piña </t>
  </si>
  <si>
    <t>Café morteado (beneficio de cafe)</t>
  </si>
  <si>
    <t>Banda de música de viento</t>
  </si>
  <si>
    <t xml:space="preserve">Trapiche </t>
  </si>
  <si>
    <t>Espinaca en invernadero</t>
  </si>
  <si>
    <t xml:space="preserve">Venta de estambres </t>
  </si>
  <si>
    <t xml:space="preserve">Vulcanizadora </t>
  </si>
  <si>
    <t>Venta de equipo de computo</t>
  </si>
  <si>
    <t>Produccion y venta de lechones</t>
  </si>
  <si>
    <t>Venta de churros</t>
  </si>
  <si>
    <t>Elaboracion y venta de platanitos y papas fritas</t>
  </si>
  <si>
    <t>Acopio y comercializacion de hoja de maíz</t>
  </si>
  <si>
    <t>Lavanderia</t>
  </si>
  <si>
    <t>Frijoles preparados</t>
  </si>
  <si>
    <t xml:space="preserve">Salon de belleza </t>
  </si>
  <si>
    <t>Cultivo de sabila</t>
  </si>
  <si>
    <t>Engorda de cerdos</t>
  </si>
  <si>
    <t xml:space="preserve">Taller de calzado </t>
  </si>
  <si>
    <t>Taqueria</t>
  </si>
  <si>
    <t>Secadora de café</t>
  </si>
  <si>
    <t>Pizzeria</t>
  </si>
  <si>
    <t>Puesto de tacos</t>
  </si>
  <si>
    <t xml:space="preserve">Venta de tamales </t>
  </si>
  <si>
    <t>Pollos rostizados (azado, enchilados, rancheros)</t>
  </si>
  <si>
    <t>Pollos estilo kentuky</t>
  </si>
  <si>
    <t xml:space="preserve">Renta de mobiliario e inflables </t>
  </si>
  <si>
    <t>Venta de fertilizantes y agroinsumos</t>
  </si>
  <si>
    <t xml:space="preserve">Cria de tepezcuintle </t>
  </si>
  <si>
    <t>Acopio y empaque de esparragos</t>
  </si>
  <si>
    <t>Tractor agricola e implementos</t>
  </si>
  <si>
    <t>Produccion de forraje verde hidroponico</t>
  </si>
  <si>
    <t xml:space="preserve">Comercializadora de productos de limpieza </t>
  </si>
  <si>
    <t>Producción de cebolla criolla</t>
  </si>
  <si>
    <t>Cria de iguanas</t>
  </si>
  <si>
    <t>Cultivo y producción de estevia en invernadero</t>
  </si>
  <si>
    <t>Cultivo y producción de estevia a campo abierto</t>
  </si>
  <si>
    <t xml:space="preserve">Marisqueria </t>
  </si>
  <si>
    <t>Reproducción de perros de raza</t>
  </si>
  <si>
    <t>Pitahaya en invernadero</t>
  </si>
  <si>
    <t>Pitahaya a campo abierto</t>
  </si>
  <si>
    <t xml:space="preserve">Taller de costura de pantalones de mezclilla </t>
  </si>
  <si>
    <t>Cabras de doble proposito</t>
  </si>
  <si>
    <t>Cultivo y producción de limón persa</t>
  </si>
  <si>
    <t>Cultivo y producción de naranja</t>
  </si>
  <si>
    <t>Cultivo y produccion de mandarina</t>
  </si>
  <si>
    <t xml:space="preserve">Cultivo y producción de toronja </t>
  </si>
  <si>
    <t>Cria y engorda de conejos</t>
  </si>
  <si>
    <t xml:space="preserve">Taller de serigrafia </t>
  </si>
  <si>
    <t xml:space="preserve">Produccion de plantulas de lechuga </t>
  </si>
  <si>
    <t>Refaccionaria</t>
  </si>
  <si>
    <t>Tienda de fantasía</t>
  </si>
  <si>
    <t xml:space="preserve">Equipo de sonido </t>
  </si>
  <si>
    <t>Productos de amaranto.</t>
  </si>
  <si>
    <t>Cultivo y producción de papa</t>
  </si>
  <si>
    <t xml:space="preserve">Miscelanea </t>
  </si>
  <si>
    <t>Cosechadroa de caña de azucar</t>
  </si>
  <si>
    <t xml:space="preserve">Empaque de jitomate </t>
  </si>
  <si>
    <t xml:space="preserve">Zarzamora en invernadero </t>
  </si>
  <si>
    <t>Produccion de plantulas de chile</t>
  </si>
  <si>
    <t>Canola forrajero</t>
  </si>
  <si>
    <t xml:space="preserve">Cultivo y produccion de sandia </t>
  </si>
  <si>
    <t>Cultivo de gladiolo</t>
  </si>
  <si>
    <t>Producción de nopal en invernadero</t>
  </si>
  <si>
    <t>Cultivo de nopal para verdura</t>
  </si>
  <si>
    <t>Cultivo de nopal tunero</t>
  </si>
  <si>
    <t xml:space="preserve">Acopio de granos </t>
  </si>
  <si>
    <t>Producción de huevo fertil</t>
  </si>
  <si>
    <t>Engorda de camaron</t>
  </si>
  <si>
    <t>Cultivo de cacahuate</t>
  </si>
  <si>
    <t>Cultivo de frijol</t>
  </si>
  <si>
    <t>Soya</t>
  </si>
  <si>
    <t>Mermeladas</t>
  </si>
  <si>
    <t>Pesca</t>
  </si>
  <si>
    <t>Esferas navideñas</t>
  </si>
  <si>
    <t>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</si>
</sst>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-* #,##0_-;\-* #,##0_-;_-* &quot;-&quot;_-;_-@_-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_-* #,##0.00\ _€_-;\-* #,##0.00\ _€_-;_-* &quot;-&quot;??\ _€_-;_-@_-"/>
    <numFmt numFmtId="168" formatCode="General_)"/>
    <numFmt numFmtId="169" formatCode="_-* #,##0.00\ _P_t_s_-;\-* #,##0.00\ _P_t_s_-;_-* &quot;-&quot;??\ _P_t_s_-;_-@_-"/>
    <numFmt numFmtId="170" formatCode="#,##0.00_ ;\-#,##0.00\ "/>
    <numFmt numFmtId="171" formatCode="0.0%"/>
    <numFmt numFmtId="172" formatCode="#,##0.000"/>
    <numFmt numFmtId="173" formatCode="_-* #,##0.00\ _p_t_a_-;\-* #,##0.00\ _p_t_a_-;_-* &quot;-&quot;\ _p_t_a_-;_-@_-"/>
    <numFmt numFmtId="174" formatCode="#,##0.0_);\(#,##0.0\)"/>
    <numFmt numFmtId="175" formatCode="#,##0.0"/>
    <numFmt numFmtId="176" formatCode="#,##0.0_ ;\-#,##0.0\ "/>
  </numFmts>
  <fonts count="7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 Narrow"/>
      <family val="2"/>
    </font>
    <font>
      <sz val="10"/>
      <name val="Palatino Linotype"/>
      <family val="1"/>
    </font>
    <font>
      <sz val="12"/>
      <name val="Palatino Linotype"/>
      <family val="1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0"/>
      <color indexed="8"/>
      <name val="Times New Roman"/>
      <family val="1"/>
    </font>
    <font>
      <b/>
      <sz val="8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name val="Courier"/>
      <family val="3"/>
    </font>
    <font>
      <b/>
      <i/>
      <sz val="10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Courier"/>
      <family val="3"/>
    </font>
    <font>
      <b/>
      <sz val="11"/>
      <color theme="1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sz val="11"/>
      <name val="Tahoma"/>
      <family val="2"/>
    </font>
    <font>
      <b/>
      <sz val="11"/>
      <name val="Tahoma"/>
      <family val="2"/>
    </font>
    <font>
      <b/>
      <i/>
      <sz val="11"/>
      <name val="Tahoma"/>
      <family val="2"/>
    </font>
    <font>
      <i/>
      <sz val="11"/>
      <name val="Tahoma"/>
      <family val="2"/>
    </font>
    <font>
      <u/>
      <sz val="11"/>
      <name val="Tahoma"/>
      <family val="2"/>
    </font>
    <font>
      <b/>
      <sz val="10"/>
      <color theme="0"/>
      <name val="Arial"/>
      <family val="2"/>
    </font>
    <font>
      <b/>
      <sz val="8"/>
      <name val="Times New Roman"/>
      <family val="1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2"/>
      <color theme="0"/>
      <name val="Calibri"/>
      <family val="2"/>
      <scheme val="minor"/>
    </font>
    <font>
      <b/>
      <sz val="10"/>
      <color theme="0"/>
      <name val="Arial Narrow"/>
      <family val="2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Tahoma"/>
      <family val="2"/>
    </font>
    <font>
      <b/>
      <sz val="10"/>
      <color theme="0"/>
      <name val="Tahoma"/>
      <family val="2"/>
    </font>
    <font>
      <b/>
      <sz val="10"/>
      <color theme="0"/>
      <name val="Times New Roman"/>
      <family val="1"/>
    </font>
    <font>
      <b/>
      <sz val="11"/>
      <color theme="0"/>
      <name val="Tahoma"/>
      <family val="2"/>
    </font>
    <font>
      <b/>
      <i/>
      <sz val="11"/>
      <color theme="0"/>
      <name val="Tahoma"/>
      <family val="2"/>
    </font>
    <font>
      <sz val="11"/>
      <color theme="0"/>
      <name val="Tahoma"/>
      <family val="2"/>
    </font>
    <font>
      <i/>
      <sz val="11"/>
      <color theme="0"/>
      <name val="Tahoma"/>
      <family val="2"/>
    </font>
    <font>
      <b/>
      <u/>
      <sz val="11"/>
      <color theme="0"/>
      <name val="Tahoma"/>
      <family val="2"/>
    </font>
    <font>
      <b/>
      <i/>
      <sz val="16"/>
      <name val="Arial"/>
      <family val="2"/>
    </font>
    <font>
      <b/>
      <sz val="16"/>
      <name val="Arial"/>
      <family val="2"/>
    </font>
    <font>
      <strike/>
      <sz val="10"/>
      <name val="Arial"/>
      <family val="2"/>
    </font>
    <font>
      <sz val="10"/>
      <color rgb="FFFF0000"/>
      <name val="Arial"/>
      <family val="2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8"/>
      <name val="Arial"/>
      <family val="2"/>
    </font>
    <font>
      <b/>
      <sz val="13"/>
      <name val="Arial"/>
      <family val="2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u/>
      <sz val="15"/>
      <color theme="10"/>
      <name val="Calibri"/>
      <family val="2"/>
    </font>
    <font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indexed="62"/>
      <name val="Calibri"/>
      <family val="2"/>
    </font>
    <font>
      <b/>
      <u/>
      <sz val="14"/>
      <color theme="10"/>
      <name val="Calibri"/>
      <family val="2"/>
    </font>
    <font>
      <b/>
      <sz val="15"/>
      <color theme="1"/>
      <name val="Calibri"/>
      <family val="2"/>
      <scheme val="minor"/>
    </font>
    <font>
      <u/>
      <sz val="15"/>
      <color theme="1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3499862666707357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20" fillId="0" borderId="0"/>
    <xf numFmtId="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</cellStyleXfs>
  <cellXfs count="371">
    <xf numFmtId="0" fontId="0" fillId="0" borderId="0" xfId="0"/>
    <xf numFmtId="166" fontId="0" fillId="0" borderId="0" xfId="1" applyFont="1"/>
    <xf numFmtId="0" fontId="2" fillId="0" borderId="0" xfId="0" applyFont="1"/>
    <xf numFmtId="0" fontId="0" fillId="0" borderId="1" xfId="0" applyBorder="1"/>
    <xf numFmtId="166" fontId="0" fillId="0" borderId="1" xfId="1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4" fontId="4" fillId="0" borderId="0" xfId="0" applyNumberFormat="1" applyFont="1" applyBorder="1"/>
    <xf numFmtId="10" fontId="4" fillId="0" borderId="0" xfId="0" applyNumberFormat="1" applyFont="1" applyBorder="1"/>
    <xf numFmtId="4" fontId="4" fillId="0" borderId="0" xfId="0" applyNumberFormat="1" applyFont="1"/>
    <xf numFmtId="0" fontId="8" fillId="0" borderId="6" xfId="0" applyFont="1" applyBorder="1"/>
    <xf numFmtId="0" fontId="8" fillId="0" borderId="8" xfId="0" applyFont="1" applyBorder="1"/>
    <xf numFmtId="0" fontId="8" fillId="0" borderId="1" xfId="0" applyFont="1" applyBorder="1"/>
    <xf numFmtId="4" fontId="8" fillId="0" borderId="1" xfId="0" applyNumberFormat="1" applyFont="1" applyBorder="1"/>
    <xf numFmtId="166" fontId="8" fillId="0" borderId="1" xfId="1" applyFont="1" applyBorder="1"/>
    <xf numFmtId="4" fontId="8" fillId="0" borderId="1" xfId="0" applyNumberFormat="1" applyFont="1" applyBorder="1" applyAlignment="1">
      <alignment horizontal="right"/>
    </xf>
    <xf numFmtId="166" fontId="4" fillId="0" borderId="0" xfId="1" applyFont="1"/>
    <xf numFmtId="4" fontId="11" fillId="0" borderId="0" xfId="0" applyNumberFormat="1" applyFont="1"/>
    <xf numFmtId="4" fontId="12" fillId="0" borderId="0" xfId="0" applyNumberFormat="1" applyFont="1"/>
    <xf numFmtId="166" fontId="4" fillId="0" borderId="0" xfId="0" applyNumberFormat="1" applyFont="1"/>
    <xf numFmtId="0" fontId="15" fillId="0" borderId="0" xfId="0" applyFont="1"/>
    <xf numFmtId="0" fontId="16" fillId="0" borderId="0" xfId="0" applyFont="1" applyFill="1" applyBorder="1" applyAlignment="1" applyProtection="1"/>
    <xf numFmtId="0" fontId="0" fillId="2" borderId="0" xfId="0" applyFill="1"/>
    <xf numFmtId="0" fontId="17" fillId="2" borderId="0" xfId="0" applyFont="1" applyFill="1" applyAlignment="1">
      <alignment horizontal="center" vertical="center"/>
    </xf>
    <xf numFmtId="0" fontId="18" fillId="2" borderId="0" xfId="0" applyFont="1" applyFill="1"/>
    <xf numFmtId="0" fontId="19" fillId="2" borderId="0" xfId="0" applyFont="1" applyFill="1"/>
    <xf numFmtId="168" fontId="21" fillId="0" borderId="0" xfId="3" applyNumberFormat="1" applyFont="1" applyFill="1"/>
    <xf numFmtId="4" fontId="22" fillId="0" borderId="0" xfId="3" applyNumberFormat="1" applyFont="1" applyFill="1"/>
    <xf numFmtId="168" fontId="20" fillId="0" borderId="0" xfId="3" applyNumberFormat="1" applyFont="1"/>
    <xf numFmtId="0" fontId="0" fillId="0" borderId="0" xfId="0" applyProtection="1">
      <protection locked="0"/>
    </xf>
    <xf numFmtId="0" fontId="0" fillId="0" borderId="0" xfId="0" applyBorder="1"/>
    <xf numFmtId="4" fontId="4" fillId="2" borderId="0" xfId="0" applyNumberFormat="1" applyFont="1" applyFill="1" applyBorder="1"/>
    <xf numFmtId="4" fontId="19" fillId="2" borderId="0" xfId="0" applyNumberFormat="1" applyFont="1" applyFill="1" applyBorder="1"/>
    <xf numFmtId="4" fontId="22" fillId="0" borderId="1" xfId="3" applyNumberFormat="1" applyFont="1" applyFill="1" applyBorder="1"/>
    <xf numFmtId="167" fontId="22" fillId="0" borderId="1" xfId="1" applyNumberFormat="1" applyFont="1" applyFill="1" applyBorder="1"/>
    <xf numFmtId="3" fontId="22" fillId="0" borderId="1" xfId="3" applyNumberFormat="1" applyFont="1" applyFill="1" applyBorder="1"/>
    <xf numFmtId="0" fontId="4" fillId="2" borderId="0" xfId="0" applyFont="1" applyFill="1" applyBorder="1"/>
    <xf numFmtId="0" fontId="4" fillId="0" borderId="0" xfId="0" applyFont="1" applyFill="1" applyBorder="1"/>
    <xf numFmtId="168" fontId="22" fillId="0" borderId="0" xfId="3" applyNumberFormat="1" applyFont="1" applyFill="1" applyBorder="1" applyAlignment="1">
      <alignment horizontal="center"/>
    </xf>
    <xf numFmtId="4" fontId="22" fillId="0" borderId="0" xfId="3" applyNumberFormat="1" applyFont="1" applyFill="1" applyBorder="1"/>
    <xf numFmtId="3" fontId="22" fillId="0" borderId="0" xfId="3" applyNumberFormat="1" applyFont="1" applyFill="1" applyBorder="1"/>
    <xf numFmtId="4" fontId="23" fillId="0" borderId="0" xfId="3" applyNumberFormat="1" applyFont="1" applyFill="1" applyBorder="1"/>
    <xf numFmtId="168" fontId="24" fillId="0" borderId="0" xfId="3" applyNumberFormat="1" applyFont="1" applyFill="1"/>
    <xf numFmtId="168" fontId="25" fillId="0" borderId="0" xfId="3" applyNumberFormat="1" applyFont="1" applyFill="1"/>
    <xf numFmtId="168" fontId="4" fillId="0" borderId="0" xfId="3" applyNumberFormat="1" applyFont="1" applyFill="1"/>
    <xf numFmtId="168" fontId="15" fillId="0" borderId="0" xfId="3" applyNumberFormat="1" applyFont="1" applyFill="1"/>
    <xf numFmtId="172" fontId="22" fillId="0" borderId="1" xfId="3" applyNumberFormat="1" applyFont="1" applyFill="1" applyBorder="1" applyAlignment="1">
      <alignment horizontal="center"/>
    </xf>
    <xf numFmtId="168" fontId="15" fillId="0" borderId="0" xfId="3" applyNumberFormat="1" applyFont="1" applyFill="1" applyAlignment="1">
      <alignment horizontal="right"/>
    </xf>
    <xf numFmtId="4" fontId="26" fillId="0" borderId="0" xfId="3" applyNumberFormat="1" applyFont="1"/>
    <xf numFmtId="168" fontId="15" fillId="0" borderId="0" xfId="3" applyNumberFormat="1" applyFont="1" applyFill="1" applyBorder="1" applyAlignment="1">
      <alignment horizontal="center"/>
    </xf>
    <xf numFmtId="3" fontId="4" fillId="0" borderId="0" xfId="3" applyNumberFormat="1" applyFont="1" applyFill="1" applyBorder="1"/>
    <xf numFmtId="168" fontId="4" fillId="0" borderId="0" xfId="3" applyNumberFormat="1" applyFont="1" applyFill="1" applyAlignment="1">
      <alignment horizontal="right"/>
    </xf>
    <xf numFmtId="10" fontId="20" fillId="0" borderId="0" xfId="3" applyNumberFormat="1" applyFont="1"/>
    <xf numFmtId="168" fontId="22" fillId="0" borderId="0" xfId="3" applyNumberFormat="1" applyFont="1" applyFill="1"/>
    <xf numFmtId="168" fontId="23" fillId="0" borderId="0" xfId="3" applyNumberFormat="1" applyFont="1" applyFill="1"/>
    <xf numFmtId="168" fontId="22" fillId="0" borderId="0" xfId="3" applyNumberFormat="1" applyFont="1" applyFill="1" applyBorder="1"/>
    <xf numFmtId="0" fontId="4" fillId="0" borderId="0" xfId="0" applyFont="1" applyProtection="1">
      <protection locked="0"/>
    </xf>
    <xf numFmtId="0" fontId="9" fillId="0" borderId="5" xfId="0" applyFont="1" applyBorder="1"/>
    <xf numFmtId="0" fontId="0" fillId="0" borderId="6" xfId="0" applyBorder="1"/>
    <xf numFmtId="0" fontId="0" fillId="0" borderId="7" xfId="0" applyBorder="1"/>
    <xf numFmtId="4" fontId="0" fillId="0" borderId="9" xfId="0" applyNumberFormat="1" applyBorder="1"/>
    <xf numFmtId="0" fontId="9" fillId="0" borderId="8" xfId="0" applyFont="1" applyBorder="1"/>
    <xf numFmtId="0" fontId="0" fillId="0" borderId="9" xfId="0" applyBorder="1"/>
    <xf numFmtId="0" fontId="8" fillId="0" borderId="11" xfId="0" applyFont="1" applyBorder="1"/>
    <xf numFmtId="4" fontId="8" fillId="0" borderId="12" xfId="0" applyNumberFormat="1" applyFont="1" applyBorder="1" applyAlignment="1">
      <alignment horizontal="right"/>
    </xf>
    <xf numFmtId="0" fontId="0" fillId="0" borderId="13" xfId="0" applyBorder="1"/>
    <xf numFmtId="0" fontId="9" fillId="4" borderId="8" xfId="0" applyFont="1" applyFill="1" applyBorder="1"/>
    <xf numFmtId="4" fontId="8" fillId="4" borderId="1" xfId="0" applyNumberFormat="1" applyFont="1" applyFill="1" applyBorder="1" applyAlignment="1">
      <alignment horizontal="right"/>
    </xf>
    <xf numFmtId="4" fontId="0" fillId="4" borderId="9" xfId="0" applyNumberFormat="1" applyFill="1" applyBorder="1"/>
    <xf numFmtId="0" fontId="4" fillId="0" borderId="0" xfId="0" applyFont="1" applyFill="1"/>
    <xf numFmtId="0" fontId="30" fillId="0" borderId="0" xfId="0" applyFont="1"/>
    <xf numFmtId="173" fontId="30" fillId="0" borderId="12" xfId="2" applyNumberFormat="1" applyFont="1" applyBorder="1"/>
    <xf numFmtId="173" fontId="30" fillId="0" borderId="12" xfId="2" applyNumberFormat="1" applyFont="1" applyFill="1" applyBorder="1"/>
    <xf numFmtId="0" fontId="15" fillId="0" borderId="15" xfId="0" applyFont="1" applyFill="1" applyBorder="1" applyAlignment="1">
      <alignment horizontal="left"/>
    </xf>
    <xf numFmtId="0" fontId="15" fillId="0" borderId="22" xfId="0" applyFont="1" applyFill="1" applyBorder="1"/>
    <xf numFmtId="0" fontId="31" fillId="0" borderId="0" xfId="0" applyFont="1" applyFill="1"/>
    <xf numFmtId="0" fontId="31" fillId="0" borderId="0" xfId="0" applyFont="1" applyFill="1" applyBorder="1"/>
    <xf numFmtId="4" fontId="31" fillId="0" borderId="0" xfId="0" applyNumberFormat="1" applyFont="1" applyFill="1" applyBorder="1"/>
    <xf numFmtId="167" fontId="23" fillId="0" borderId="8" xfId="1" applyNumberFormat="1" applyFont="1" applyFill="1" applyBorder="1"/>
    <xf numFmtId="0" fontId="15" fillId="0" borderId="9" xfId="0" applyFont="1" applyFill="1" applyBorder="1"/>
    <xf numFmtId="174" fontId="20" fillId="0" borderId="0" xfId="0" applyNumberFormat="1" applyFont="1"/>
    <xf numFmtId="167" fontId="15" fillId="0" borderId="11" xfId="0" applyNumberFormat="1" applyFont="1" applyFill="1" applyBorder="1" applyAlignment="1">
      <alignment horizontal="left"/>
    </xf>
    <xf numFmtId="0" fontId="15" fillId="0" borderId="13" xfId="0" applyFont="1" applyFill="1" applyBorder="1"/>
    <xf numFmtId="0" fontId="32" fillId="0" borderId="0" xfId="0" applyFont="1" applyBorder="1" applyAlignment="1">
      <alignment horizontal="left"/>
    </xf>
    <xf numFmtId="0" fontId="32" fillId="0" borderId="0" xfId="0" applyFont="1" applyBorder="1" applyAlignment="1">
      <alignment horizontal="center"/>
    </xf>
    <xf numFmtId="0" fontId="31" fillId="0" borderId="0" xfId="0" applyFont="1" applyBorder="1"/>
    <xf numFmtId="0" fontId="31" fillId="0" borderId="0" xfId="0" applyFont="1" applyBorder="1" applyAlignment="1">
      <alignment horizontal="center"/>
    </xf>
    <xf numFmtId="0" fontId="32" fillId="0" borderId="0" xfId="0" applyFont="1" applyFill="1" applyBorder="1" applyAlignment="1">
      <alignment horizontal="center"/>
    </xf>
    <xf numFmtId="0" fontId="33" fillId="0" borderId="0" xfId="0" applyFont="1" applyBorder="1"/>
    <xf numFmtId="4" fontId="31" fillId="0" borderId="0" xfId="0" applyNumberFormat="1" applyFont="1" applyBorder="1"/>
    <xf numFmtId="3" fontId="31" fillId="0" borderId="0" xfId="0" applyNumberFormat="1" applyFont="1" applyBorder="1" applyAlignment="1">
      <alignment horizontal="center"/>
    </xf>
    <xf numFmtId="0" fontId="34" fillId="0" borderId="0" xfId="0" applyFont="1" applyBorder="1"/>
    <xf numFmtId="0" fontId="35" fillId="0" borderId="0" xfId="0" applyFont="1" applyFill="1" applyBorder="1"/>
    <xf numFmtId="3" fontId="31" fillId="0" borderId="0" xfId="0" applyNumberFormat="1" applyFont="1" applyFill="1" applyBorder="1"/>
    <xf numFmtId="9" fontId="31" fillId="0" borderId="0" xfId="5" applyFont="1" applyFill="1" applyBorder="1"/>
    <xf numFmtId="39" fontId="31" fillId="0" borderId="0" xfId="0" applyNumberFormat="1" applyFont="1" applyFill="1" applyBorder="1"/>
    <xf numFmtId="4" fontId="4" fillId="0" borderId="0" xfId="0" applyNumberFormat="1" applyFont="1" applyFill="1"/>
    <xf numFmtId="175" fontId="4" fillId="0" borderId="0" xfId="0" applyNumberFormat="1" applyFont="1" applyFill="1"/>
    <xf numFmtId="0" fontId="31" fillId="0" borderId="29" xfId="0" applyFont="1" applyBorder="1" applyAlignment="1">
      <alignment horizontal="center"/>
    </xf>
    <xf numFmtId="3" fontId="31" fillId="0" borderId="4" xfId="0" applyNumberFormat="1" applyFont="1" applyBorder="1" applyAlignment="1">
      <alignment horizontal="center"/>
    </xf>
    <xf numFmtId="3" fontId="31" fillId="0" borderId="33" xfId="0" applyNumberFormat="1" applyFont="1" applyBorder="1" applyAlignment="1">
      <alignment horizontal="center"/>
    </xf>
    <xf numFmtId="3" fontId="31" fillId="0" borderId="24" xfId="0" applyNumberFormat="1" applyFont="1" applyFill="1" applyBorder="1"/>
    <xf numFmtId="4" fontId="31" fillId="0" borderId="35" xfId="0" applyNumberFormat="1" applyFont="1" applyFill="1" applyBorder="1"/>
    <xf numFmtId="9" fontId="31" fillId="0" borderId="35" xfId="5" applyFont="1" applyFill="1" applyBorder="1"/>
    <xf numFmtId="39" fontId="31" fillId="0" borderId="23" xfId="0" applyNumberFormat="1" applyFont="1" applyFill="1" applyBorder="1"/>
    <xf numFmtId="4" fontId="37" fillId="0" borderId="0" xfId="0" applyNumberFormat="1" applyFont="1" applyFill="1" applyBorder="1" applyAlignment="1" applyProtection="1">
      <alignment horizontal="center"/>
    </xf>
    <xf numFmtId="0" fontId="15" fillId="3" borderId="27" xfId="0" applyFont="1" applyFill="1" applyBorder="1"/>
    <xf numFmtId="0" fontId="15" fillId="3" borderId="34" xfId="0" applyFont="1" applyFill="1" applyBorder="1"/>
    <xf numFmtId="0" fontId="15" fillId="3" borderId="30" xfId="0" applyFont="1" applyFill="1" applyBorder="1"/>
    <xf numFmtId="0" fontId="15" fillId="3" borderId="36" xfId="0" applyFont="1" applyFill="1" applyBorder="1"/>
    <xf numFmtId="0" fontId="15" fillId="3" borderId="10" xfId="0" applyFont="1" applyFill="1" applyBorder="1"/>
    <xf numFmtId="0" fontId="15" fillId="3" borderId="25" xfId="0" applyFont="1" applyFill="1" applyBorder="1"/>
    <xf numFmtId="0" fontId="13" fillId="0" borderId="0" xfId="0" applyFont="1"/>
    <xf numFmtId="0" fontId="14" fillId="0" borderId="0" xfId="0" applyFont="1"/>
    <xf numFmtId="0" fontId="14" fillId="0" borderId="1" xfId="0" applyFont="1" applyBorder="1"/>
    <xf numFmtId="166" fontId="14" fillId="0" borderId="1" xfId="1" applyFont="1" applyBorder="1"/>
    <xf numFmtId="0" fontId="13" fillId="0" borderId="0" xfId="0" applyFont="1" applyFill="1" applyBorder="1"/>
    <xf numFmtId="9" fontId="13" fillId="0" borderId="0" xfId="5" applyFont="1"/>
    <xf numFmtId="9" fontId="13" fillId="0" borderId="0" xfId="0" applyNumberFormat="1" applyFont="1"/>
    <xf numFmtId="0" fontId="0" fillId="0" borderId="1" xfId="0" applyBorder="1" applyAlignment="1">
      <alignment vertical="center" wrapText="1"/>
    </xf>
    <xf numFmtId="4" fontId="0" fillId="0" borderId="1" xfId="0" applyNumberFormat="1" applyBorder="1"/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/>
    <xf numFmtId="0" fontId="13" fillId="5" borderId="1" xfId="0" applyFont="1" applyFill="1" applyBorder="1"/>
    <xf numFmtId="0" fontId="14" fillId="5" borderId="1" xfId="0" applyFont="1" applyFill="1" applyBorder="1"/>
    <xf numFmtId="166" fontId="14" fillId="5" borderId="1" xfId="1" applyFont="1" applyFill="1" applyBorder="1"/>
    <xf numFmtId="166" fontId="13" fillId="5" borderId="1" xfId="1" applyFont="1" applyFill="1" applyBorder="1"/>
    <xf numFmtId="166" fontId="2" fillId="6" borderId="1" xfId="1" applyFont="1" applyFill="1" applyBorder="1"/>
    <xf numFmtId="0" fontId="0" fillId="6" borderId="0" xfId="0" applyFill="1"/>
    <xf numFmtId="170" fontId="0" fillId="0" borderId="1" xfId="1" applyNumberFormat="1" applyFont="1" applyBorder="1"/>
    <xf numFmtId="166" fontId="30" fillId="0" borderId="1" xfId="1" applyFont="1" applyBorder="1"/>
    <xf numFmtId="166" fontId="4" fillId="2" borderId="0" xfId="1" applyFont="1" applyFill="1"/>
    <xf numFmtId="170" fontId="2" fillId="6" borderId="1" xfId="1" applyNumberFormat="1" applyFont="1" applyFill="1" applyBorder="1"/>
    <xf numFmtId="0" fontId="40" fillId="7" borderId="1" xfId="0" applyFont="1" applyFill="1" applyBorder="1"/>
    <xf numFmtId="0" fontId="41" fillId="7" borderId="1" xfId="0" applyFont="1" applyFill="1" applyBorder="1"/>
    <xf numFmtId="166" fontId="41" fillId="7" borderId="1" xfId="1" applyFont="1" applyFill="1" applyBorder="1"/>
    <xf numFmtId="166" fontId="40" fillId="7" borderId="1" xfId="1" applyFont="1" applyFill="1" applyBorder="1"/>
    <xf numFmtId="0" fontId="36" fillId="7" borderId="25" xfId="0" applyFont="1" applyFill="1" applyBorder="1" applyAlignment="1">
      <alignment horizontal="center"/>
    </xf>
    <xf numFmtId="0" fontId="36" fillId="7" borderId="22" xfId="0" applyFont="1" applyFill="1" applyBorder="1" applyAlignment="1">
      <alignment horizontal="center"/>
    </xf>
    <xf numFmtId="0" fontId="36" fillId="7" borderId="17" xfId="0" applyFont="1" applyFill="1" applyBorder="1" applyAlignment="1">
      <alignment horizontal="center"/>
    </xf>
    <xf numFmtId="0" fontId="48" fillId="7" borderId="5" xfId="0" applyFont="1" applyFill="1" applyBorder="1"/>
    <xf numFmtId="0" fontId="48" fillId="7" borderId="6" xfId="0" applyFont="1" applyFill="1" applyBorder="1" applyAlignment="1">
      <alignment horizontal="center"/>
    </xf>
    <xf numFmtId="0" fontId="48" fillId="7" borderId="8" xfId="0" applyFont="1" applyFill="1" applyBorder="1"/>
    <xf numFmtId="0" fontId="48" fillId="7" borderId="11" xfId="0" applyFont="1" applyFill="1" applyBorder="1"/>
    <xf numFmtId="0" fontId="49" fillId="7" borderId="26" xfId="0" applyFont="1" applyFill="1" applyBorder="1" applyAlignment="1">
      <alignment horizontal="center"/>
    </xf>
    <xf numFmtId="0" fontId="49" fillId="7" borderId="16" xfId="0" applyFont="1" applyFill="1" applyBorder="1" applyAlignment="1">
      <alignment horizontal="center"/>
    </xf>
    <xf numFmtId="0" fontId="49" fillId="7" borderId="3" xfId="0" applyFont="1" applyFill="1" applyBorder="1" applyAlignment="1">
      <alignment horizontal="center"/>
    </xf>
    <xf numFmtId="0" fontId="49" fillId="7" borderId="17" xfId="0" applyFont="1" applyFill="1" applyBorder="1" applyAlignment="1">
      <alignment horizontal="center"/>
    </xf>
    <xf numFmtId="0" fontId="49" fillId="7" borderId="15" xfId="0" applyFont="1" applyFill="1" applyBorder="1" applyAlignment="1">
      <alignment horizontal="center"/>
    </xf>
    <xf numFmtId="0" fontId="51" fillId="7" borderId="30" xfId="0" applyFont="1" applyFill="1" applyBorder="1"/>
    <xf numFmtId="4" fontId="51" fillId="7" borderId="0" xfId="0" applyNumberFormat="1" applyFont="1" applyFill="1" applyBorder="1"/>
    <xf numFmtId="0" fontId="52" fillId="7" borderId="30" xfId="0" applyFont="1" applyFill="1" applyBorder="1"/>
    <xf numFmtId="0" fontId="49" fillId="7" borderId="27" xfId="0" applyFont="1" applyFill="1" applyBorder="1" applyAlignment="1"/>
    <xf numFmtId="0" fontId="49" fillId="7" borderId="34" xfId="0" applyFont="1" applyFill="1" applyBorder="1" applyAlignment="1"/>
    <xf numFmtId="0" fontId="49" fillId="7" borderId="30" xfId="0" applyFont="1" applyFill="1" applyBorder="1"/>
    <xf numFmtId="0" fontId="53" fillId="7" borderId="0" xfId="0" applyFont="1" applyFill="1" applyBorder="1"/>
    <xf numFmtId="0" fontId="49" fillId="7" borderId="30" xfId="0" applyFont="1" applyFill="1" applyBorder="1" applyAlignment="1"/>
    <xf numFmtId="0" fontId="49" fillId="7" borderId="36" xfId="0" applyFont="1" applyFill="1" applyBorder="1" applyAlignment="1"/>
    <xf numFmtId="0" fontId="49" fillId="7" borderId="10" xfId="0" applyFont="1" applyFill="1" applyBorder="1"/>
    <xf numFmtId="0" fontId="49" fillId="7" borderId="14" xfId="0" applyFont="1" applyFill="1" applyBorder="1"/>
    <xf numFmtId="0" fontId="39" fillId="7" borderId="12" xfId="0" applyFont="1" applyFill="1" applyBorder="1"/>
    <xf numFmtId="4" fontId="39" fillId="7" borderId="12" xfId="0" applyNumberFormat="1" applyFont="1" applyFill="1" applyBorder="1" applyAlignment="1">
      <alignment wrapText="1"/>
    </xf>
    <xf numFmtId="4" fontId="36" fillId="7" borderId="12" xfId="0" applyNumberFormat="1" applyFont="1" applyFill="1" applyBorder="1"/>
    <xf numFmtId="0" fontId="36" fillId="7" borderId="12" xfId="0" applyFont="1" applyFill="1" applyBorder="1" applyAlignment="1">
      <alignment horizontal="center"/>
    </xf>
    <xf numFmtId="166" fontId="2" fillId="8" borderId="1" xfId="1" applyFont="1" applyFill="1" applyBorder="1"/>
    <xf numFmtId="4" fontId="9" fillId="8" borderId="1" xfId="0" applyNumberFormat="1" applyFont="1" applyFill="1" applyBorder="1" applyAlignment="1">
      <alignment horizontal="right"/>
    </xf>
    <xf numFmtId="4" fontId="47" fillId="7" borderId="1" xfId="3" applyNumberFormat="1" applyFont="1" applyFill="1" applyBorder="1" applyAlignment="1">
      <alignment horizontal="center"/>
    </xf>
    <xf numFmtId="0" fontId="25" fillId="0" borderId="0" xfId="0" applyFont="1"/>
    <xf numFmtId="169" fontId="0" fillId="0" borderId="0" xfId="1" applyNumberFormat="1" applyFont="1" applyAlignment="1"/>
    <xf numFmtId="169" fontId="0" fillId="0" borderId="0" xfId="1" applyNumberFormat="1" applyFont="1"/>
    <xf numFmtId="0" fontId="55" fillId="0" borderId="0" xfId="0" applyFont="1" applyAlignment="1">
      <alignment horizontal="center"/>
    </xf>
    <xf numFmtId="169" fontId="36" fillId="9" borderId="1" xfId="1" applyNumberFormat="1" applyFont="1" applyFill="1" applyBorder="1" applyAlignment="1"/>
    <xf numFmtId="0" fontId="44" fillId="9" borderId="1" xfId="0" applyFont="1" applyFill="1" applyBorder="1" applyAlignment="1">
      <alignment horizontal="centerContinuous"/>
    </xf>
    <xf numFmtId="169" fontId="44" fillId="9" borderId="1" xfId="1" applyNumberFormat="1" applyFont="1" applyFill="1" applyBorder="1" applyAlignment="1"/>
    <xf numFmtId="0" fontId="4" fillId="0" borderId="1" xfId="0" applyFont="1" applyFill="1" applyBorder="1"/>
    <xf numFmtId="0" fontId="4" fillId="0" borderId="1" xfId="0" applyFont="1" applyFill="1" applyBorder="1" applyAlignment="1"/>
    <xf numFmtId="169" fontId="4" fillId="0" borderId="1" xfId="1" applyNumberFormat="1" applyFont="1" applyFill="1" applyBorder="1"/>
    <xf numFmtId="169" fontId="4" fillId="0" borderId="1" xfId="1" applyNumberFormat="1" applyFont="1" applyFill="1" applyBorder="1" applyAlignment="1"/>
    <xf numFmtId="0" fontId="44" fillId="9" borderId="1" xfId="0" applyFont="1" applyFill="1" applyBorder="1"/>
    <xf numFmtId="0" fontId="44" fillId="9" borderId="1" xfId="0" applyFont="1" applyFill="1" applyBorder="1" applyAlignment="1"/>
    <xf numFmtId="0" fontId="15" fillId="0" borderId="1" xfId="0" applyFont="1" applyFill="1" applyBorder="1"/>
    <xf numFmtId="169" fontId="15" fillId="0" borderId="1" xfId="1" applyNumberFormat="1" applyFont="1" applyFill="1" applyBorder="1"/>
    <xf numFmtId="0" fontId="0" fillId="10" borderId="0" xfId="0" applyFill="1"/>
    <xf numFmtId="169" fontId="4" fillId="10" borderId="0" xfId="1" applyNumberFormat="1" applyFont="1" applyFill="1" applyAlignment="1"/>
    <xf numFmtId="169" fontId="4" fillId="10" borderId="0" xfId="1" applyNumberFormat="1" applyFont="1" applyFill="1"/>
    <xf numFmtId="169" fontId="0" fillId="0" borderId="1" xfId="1" applyNumberFormat="1" applyFont="1" applyBorder="1"/>
    <xf numFmtId="169" fontId="4" fillId="6" borderId="0" xfId="1" applyNumberFormat="1" applyFont="1" applyFill="1" applyAlignment="1"/>
    <xf numFmtId="169" fontId="4" fillId="6" borderId="0" xfId="1" applyNumberFormat="1" applyFont="1" applyFill="1"/>
    <xf numFmtId="169" fontId="0" fillId="0" borderId="1" xfId="1" applyNumberFormat="1" applyFont="1" applyBorder="1" applyAlignment="1"/>
    <xf numFmtId="166" fontId="8" fillId="0" borderId="1" xfId="1" applyFont="1" applyBorder="1" applyAlignment="1">
      <alignment horizontal="right"/>
    </xf>
    <xf numFmtId="4" fontId="23" fillId="0" borderId="0" xfId="3" applyNumberFormat="1" applyFont="1" applyFill="1" applyBorder="1" applyAlignment="1">
      <alignment horizontal="center"/>
    </xf>
    <xf numFmtId="168" fontId="47" fillId="7" borderId="1" xfId="3" applyNumberFormat="1" applyFont="1" applyFill="1" applyBorder="1" applyAlignment="1">
      <alignment horizontal="center"/>
    </xf>
    <xf numFmtId="171" fontId="47" fillId="7" borderId="1" xfId="5" applyNumberFormat="1" applyFont="1" applyFill="1" applyBorder="1" applyAlignment="1">
      <alignment horizontal="center"/>
    </xf>
    <xf numFmtId="168" fontId="22" fillId="0" borderId="1" xfId="3" applyNumberFormat="1" applyFont="1" applyFill="1" applyBorder="1" applyAlignment="1">
      <alignment horizontal="center"/>
    </xf>
    <xf numFmtId="168" fontId="20" fillId="0" borderId="0" xfId="3" applyNumberFormat="1" applyFont="1" applyBorder="1"/>
    <xf numFmtId="168" fontId="47" fillId="7" borderId="1" xfId="3" applyNumberFormat="1" applyFont="1" applyFill="1" applyBorder="1"/>
    <xf numFmtId="4" fontId="47" fillId="7" borderId="1" xfId="3" applyNumberFormat="1" applyFont="1" applyFill="1" applyBorder="1"/>
    <xf numFmtId="169" fontId="15" fillId="0" borderId="1" xfId="4" applyNumberFormat="1" applyFont="1" applyFill="1" applyBorder="1" applyAlignment="1">
      <alignment vertical="center"/>
    </xf>
    <xf numFmtId="169" fontId="15" fillId="0" borderId="1" xfId="4" applyNumberFormat="1" applyFont="1" applyBorder="1" applyAlignment="1">
      <alignment horizontal="right"/>
    </xf>
    <xf numFmtId="169" fontId="15" fillId="0" borderId="1" xfId="4" applyNumberFormat="1" applyFont="1" applyBorder="1"/>
    <xf numFmtId="168" fontId="4" fillId="0" borderId="1" xfId="3" applyNumberFormat="1" applyFont="1" applyBorder="1"/>
    <xf numFmtId="170" fontId="4" fillId="0" borderId="1" xfId="1" applyNumberFormat="1" applyFont="1" applyBorder="1"/>
    <xf numFmtId="168" fontId="15" fillId="8" borderId="1" xfId="3" applyNumberFormat="1" applyFont="1" applyFill="1" applyBorder="1" applyAlignment="1">
      <alignment horizontal="center"/>
    </xf>
    <xf numFmtId="3" fontId="15" fillId="8" borderId="1" xfId="3" applyNumberFormat="1" applyFont="1" applyFill="1" applyBorder="1"/>
    <xf numFmtId="4" fontId="15" fillId="8" borderId="1" xfId="3" applyNumberFormat="1" applyFont="1" applyFill="1" applyBorder="1"/>
    <xf numFmtId="4" fontId="47" fillId="7" borderId="1" xfId="3" applyNumberFormat="1" applyFont="1" applyFill="1" applyBorder="1" applyAlignment="1"/>
    <xf numFmtId="168" fontId="23" fillId="0" borderId="1" xfId="3" applyNumberFormat="1" applyFont="1" applyFill="1" applyBorder="1"/>
    <xf numFmtId="4" fontId="23" fillId="0" borderId="1" xfId="6" applyNumberFormat="1" applyFont="1" applyFill="1" applyBorder="1" applyAlignment="1">
      <alignment horizontal="right"/>
    </xf>
    <xf numFmtId="10" fontId="23" fillId="0" borderId="1" xfId="5" applyNumberFormat="1" applyFont="1" applyFill="1" applyBorder="1" applyAlignment="1">
      <alignment horizontal="right"/>
    </xf>
    <xf numFmtId="2" fontId="23" fillId="0" borderId="1" xfId="3" applyNumberFormat="1" applyFont="1" applyFill="1" applyBorder="1" applyAlignment="1">
      <alignment horizontal="right"/>
    </xf>
    <xf numFmtId="0" fontId="43" fillId="7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/>
    <xf numFmtId="169" fontId="15" fillId="0" borderId="1" xfId="1" applyNumberFormat="1" applyFont="1" applyFill="1" applyBorder="1" applyAlignment="1"/>
    <xf numFmtId="0" fontId="4" fillId="0" borderId="2" xfId="0" applyFont="1" applyFill="1" applyBorder="1"/>
    <xf numFmtId="0" fontId="4" fillId="0" borderId="2" xfId="0" applyFont="1" applyFill="1" applyBorder="1" applyAlignment="1"/>
    <xf numFmtId="169" fontId="4" fillId="0" borderId="2" xfId="1" applyNumberFormat="1" applyFont="1" applyFill="1" applyBorder="1" applyAlignment="1"/>
    <xf numFmtId="0" fontId="4" fillId="0" borderId="33" xfId="0" applyFont="1" applyFill="1" applyBorder="1"/>
    <xf numFmtId="0" fontId="4" fillId="0" borderId="33" xfId="0" applyFont="1" applyFill="1" applyBorder="1" applyAlignment="1"/>
    <xf numFmtId="169" fontId="4" fillId="0" borderId="33" xfId="1" applyNumberFormat="1" applyFont="1" applyFill="1" applyBorder="1" applyAlignment="1"/>
    <xf numFmtId="0" fontId="0" fillId="0" borderId="20" xfId="0" applyBorder="1"/>
    <xf numFmtId="0" fontId="44" fillId="9" borderId="2" xfId="0" applyFont="1" applyFill="1" applyBorder="1"/>
    <xf numFmtId="0" fontId="44" fillId="9" borderId="2" xfId="0" applyFont="1" applyFill="1" applyBorder="1" applyAlignment="1"/>
    <xf numFmtId="169" fontId="44" fillId="9" borderId="2" xfId="1" applyNumberFormat="1" applyFont="1" applyFill="1" applyBorder="1" applyAlignment="1"/>
    <xf numFmtId="169" fontId="36" fillId="9" borderId="2" xfId="1" applyNumberFormat="1" applyFont="1" applyFill="1" applyBorder="1" applyAlignment="1"/>
    <xf numFmtId="0" fontId="4" fillId="0" borderId="4" xfId="0" applyFont="1" applyFill="1" applyBorder="1"/>
    <xf numFmtId="0" fontId="4" fillId="0" borderId="4" xfId="0" applyFont="1" applyFill="1" applyBorder="1" applyAlignment="1"/>
    <xf numFmtId="169" fontId="4" fillId="0" borderId="4" xfId="1" applyNumberFormat="1" applyFont="1" applyFill="1" applyBorder="1" applyAlignment="1"/>
    <xf numFmtId="0" fontId="36" fillId="9" borderId="2" xfId="0" applyFont="1" applyFill="1" applyBorder="1" applyAlignment="1">
      <alignment horizontal="center"/>
    </xf>
    <xf numFmtId="0" fontId="36" fillId="9" borderId="2" xfId="0" applyFont="1" applyFill="1" applyBorder="1" applyAlignment="1">
      <alignment horizontal="centerContinuous"/>
    </xf>
    <xf numFmtId="169" fontId="36" fillId="9" borderId="2" xfId="1" applyNumberFormat="1" applyFont="1" applyFill="1" applyBorder="1" applyAlignment="1">
      <alignment horizontal="center"/>
    </xf>
    <xf numFmtId="169" fontId="56" fillId="0" borderId="33" xfId="1" applyNumberFormat="1" applyFont="1" applyFill="1" applyBorder="1" applyAlignment="1"/>
    <xf numFmtId="0" fontId="58" fillId="0" borderId="0" xfId="0" applyFont="1"/>
    <xf numFmtId="0" fontId="59" fillId="0" borderId="0" xfId="0" applyFont="1"/>
    <xf numFmtId="0" fontId="55" fillId="0" borderId="0" xfId="0" applyFont="1"/>
    <xf numFmtId="171" fontId="13" fillId="0" borderId="0" xfId="5" applyNumberFormat="1" applyFont="1"/>
    <xf numFmtId="0" fontId="44" fillId="9" borderId="5" xfId="0" applyFont="1" applyFill="1" applyBorder="1"/>
    <xf numFmtId="4" fontId="4" fillId="0" borderId="7" xfId="0" applyNumberFormat="1" applyFont="1" applyBorder="1"/>
    <xf numFmtId="0" fontId="44" fillId="9" borderId="8" xfId="0" applyFont="1" applyFill="1" applyBorder="1"/>
    <xf numFmtId="165" fontId="4" fillId="0" borderId="9" xfId="7" applyFont="1" applyBorder="1"/>
    <xf numFmtId="0" fontId="44" fillId="9" borderId="11" xfId="0" applyFont="1" applyFill="1" applyBorder="1"/>
    <xf numFmtId="0" fontId="57" fillId="0" borderId="13" xfId="0" applyFont="1" applyBorder="1"/>
    <xf numFmtId="0" fontId="44" fillId="11" borderId="5" xfId="0" applyFont="1" applyFill="1" applyBorder="1"/>
    <xf numFmtId="0" fontId="39" fillId="11" borderId="6" xfId="0" applyFont="1" applyFill="1" applyBorder="1"/>
    <xf numFmtId="4" fontId="39" fillId="11" borderId="6" xfId="0" applyNumberFormat="1" applyFont="1" applyFill="1" applyBorder="1"/>
    <xf numFmtId="169" fontId="39" fillId="11" borderId="6" xfId="1" applyNumberFormat="1" applyFont="1" applyFill="1" applyBorder="1" applyAlignment="1"/>
    <xf numFmtId="4" fontId="44" fillId="11" borderId="6" xfId="0" applyNumberFormat="1" applyFont="1" applyFill="1" applyBorder="1"/>
    <xf numFmtId="166" fontId="0" fillId="0" borderId="36" xfId="1" applyFont="1" applyBorder="1"/>
    <xf numFmtId="0" fontId="0" fillId="0" borderId="12" xfId="0" applyBorder="1"/>
    <xf numFmtId="169" fontId="0" fillId="0" borderId="12" xfId="1" applyNumberFormat="1" applyFont="1" applyBorder="1" applyAlignment="1"/>
    <xf numFmtId="169" fontId="0" fillId="0" borderId="12" xfId="1" applyNumberFormat="1" applyFont="1" applyBorder="1"/>
    <xf numFmtId="166" fontId="0" fillId="0" borderId="25" xfId="1" applyFont="1" applyBorder="1"/>
    <xf numFmtId="0" fontId="38" fillId="7" borderId="5" xfId="0" applyFont="1" applyFill="1" applyBorder="1"/>
    <xf numFmtId="0" fontId="38" fillId="7" borderId="6" xfId="0" applyFont="1" applyFill="1" applyBorder="1"/>
    <xf numFmtId="0" fontId="38" fillId="7" borderId="7" xfId="0" applyFont="1" applyFill="1" applyBorder="1"/>
    <xf numFmtId="0" fontId="38" fillId="7" borderId="8" xfId="0" applyFont="1" applyFill="1" applyBorder="1"/>
    <xf numFmtId="166" fontId="0" fillId="0" borderId="9" xfId="1" applyFont="1" applyBorder="1"/>
    <xf numFmtId="0" fontId="2" fillId="8" borderId="8" xfId="0" applyFont="1" applyFill="1" applyBorder="1"/>
    <xf numFmtId="166" fontId="2" fillId="8" borderId="9" xfId="1" applyFont="1" applyFill="1" applyBorder="1"/>
    <xf numFmtId="0" fontId="0" fillId="6" borderId="8" xfId="0" applyFont="1" applyFill="1" applyBorder="1"/>
    <xf numFmtId="170" fontId="0" fillId="0" borderId="9" xfId="1" applyNumberFormat="1" applyFont="1" applyBorder="1"/>
    <xf numFmtId="4" fontId="0" fillId="6" borderId="8" xfId="0" applyNumberFormat="1" applyFont="1" applyFill="1" applyBorder="1"/>
    <xf numFmtId="0" fontId="42" fillId="7" borderId="11" xfId="0" applyFont="1" applyFill="1" applyBorder="1"/>
    <xf numFmtId="166" fontId="42" fillId="7" borderId="12" xfId="1" applyFont="1" applyFill="1" applyBorder="1"/>
    <xf numFmtId="166" fontId="42" fillId="7" borderId="13" xfId="1" applyFont="1" applyFill="1" applyBorder="1"/>
    <xf numFmtId="166" fontId="38" fillId="7" borderId="6" xfId="1" applyFont="1" applyFill="1" applyBorder="1"/>
    <xf numFmtId="166" fontId="38" fillId="7" borderId="7" xfId="1" applyFont="1" applyFill="1" applyBorder="1"/>
    <xf numFmtId="0" fontId="2" fillId="6" borderId="8" xfId="0" applyFont="1" applyFill="1" applyBorder="1"/>
    <xf numFmtId="166" fontId="2" fillId="6" borderId="9" xfId="1" applyFont="1" applyFill="1" applyBorder="1"/>
    <xf numFmtId="0" fontId="38" fillId="7" borderId="11" xfId="0" applyFont="1" applyFill="1" applyBorder="1"/>
    <xf numFmtId="170" fontId="38" fillId="7" borderId="12" xfId="1" applyNumberFormat="1" applyFont="1" applyFill="1" applyBorder="1"/>
    <xf numFmtId="176" fontId="1" fillId="6" borderId="1" xfId="1" applyNumberFormat="1" applyFont="1" applyFill="1" applyBorder="1"/>
    <xf numFmtId="176" fontId="1" fillId="6" borderId="9" xfId="1" applyNumberFormat="1" applyFont="1" applyFill="1" applyBorder="1"/>
    <xf numFmtId="0" fontId="43" fillId="7" borderId="9" xfId="0" applyFont="1" applyFill="1" applyBorder="1" applyAlignment="1">
      <alignment horizontal="center" vertical="center"/>
    </xf>
    <xf numFmtId="0" fontId="7" fillId="0" borderId="8" xfId="0" applyFont="1" applyBorder="1"/>
    <xf numFmtId="0" fontId="8" fillId="0" borderId="9" xfId="0" applyFont="1" applyBorder="1"/>
    <xf numFmtId="166" fontId="8" fillId="0" borderId="9" xfId="1" applyFont="1" applyBorder="1" applyAlignment="1">
      <alignment horizontal="right"/>
    </xf>
    <xf numFmtId="0" fontId="6" fillId="0" borderId="8" xfId="0" applyFont="1" applyBorder="1"/>
    <xf numFmtId="0" fontId="7" fillId="8" borderId="8" xfId="0" applyFont="1" applyFill="1" applyBorder="1"/>
    <xf numFmtId="4" fontId="9" fillId="8" borderId="9" xfId="0" applyNumberFormat="1" applyFont="1" applyFill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0" fontId="10" fillId="0" borderId="8" xfId="0" applyFont="1" applyBorder="1" applyProtection="1"/>
    <xf numFmtId="4" fontId="8" fillId="0" borderId="9" xfId="0" applyNumberFormat="1" applyFont="1" applyBorder="1"/>
    <xf numFmtId="166" fontId="8" fillId="0" borderId="9" xfId="1" applyFont="1" applyBorder="1"/>
    <xf numFmtId="0" fontId="43" fillId="7" borderId="11" xfId="0" applyFont="1" applyFill="1" applyBorder="1"/>
    <xf numFmtId="4" fontId="36" fillId="7" borderId="12" xfId="0" applyNumberFormat="1" applyFont="1" applyFill="1" applyBorder="1" applyAlignment="1">
      <alignment horizontal="right"/>
    </xf>
    <xf numFmtId="4" fontId="36" fillId="7" borderId="13" xfId="0" applyNumberFormat="1" applyFont="1" applyFill="1" applyBorder="1" applyAlignment="1">
      <alignment horizontal="right"/>
    </xf>
    <xf numFmtId="166" fontId="22" fillId="0" borderId="1" xfId="1" applyFont="1" applyFill="1" applyBorder="1"/>
    <xf numFmtId="0" fontId="36" fillId="7" borderId="6" xfId="0" applyFont="1" applyFill="1" applyBorder="1" applyAlignment="1">
      <alignment horizontal="center" vertical="center" wrapText="1"/>
    </xf>
    <xf numFmtId="0" fontId="36" fillId="7" borderId="6" xfId="0" applyFont="1" applyFill="1" applyBorder="1" applyAlignment="1">
      <alignment horizontal="center" vertical="center"/>
    </xf>
    <xf numFmtId="0" fontId="36" fillId="7" borderId="7" xfId="0" applyFont="1" applyFill="1" applyBorder="1" applyAlignment="1">
      <alignment horizontal="center" vertical="center" wrapText="1"/>
    </xf>
    <xf numFmtId="4" fontId="36" fillId="7" borderId="13" xfId="0" applyNumberFormat="1" applyFont="1" applyFill="1" applyBorder="1"/>
    <xf numFmtId="166" fontId="0" fillId="0" borderId="12" xfId="1" applyFont="1" applyBorder="1"/>
    <xf numFmtId="0" fontId="36" fillId="7" borderId="12" xfId="0" applyFont="1" applyFill="1" applyBorder="1" applyAlignment="1">
      <alignment horizontal="center"/>
    </xf>
    <xf numFmtId="0" fontId="60" fillId="0" borderId="0" xfId="0" applyFont="1"/>
    <xf numFmtId="0" fontId="61" fillId="0" borderId="0" xfId="0" applyFont="1"/>
    <xf numFmtId="166" fontId="1" fillId="0" borderId="1" xfId="1" applyFont="1" applyBorder="1"/>
    <xf numFmtId="0" fontId="4" fillId="0" borderId="1" xfId="0" applyFont="1" applyBorder="1"/>
    <xf numFmtId="166" fontId="4" fillId="0" borderId="1" xfId="1" applyFont="1" applyBorder="1"/>
    <xf numFmtId="0" fontId="15" fillId="0" borderId="1" xfId="0" applyFont="1" applyBorder="1"/>
    <xf numFmtId="166" fontId="15" fillId="0" borderId="1" xfId="1" applyFont="1" applyBorder="1"/>
    <xf numFmtId="0" fontId="2" fillId="0" borderId="8" xfId="0" applyFont="1" applyBorder="1"/>
    <xf numFmtId="166" fontId="0" fillId="0" borderId="1" xfId="0" applyNumberFormat="1" applyBorder="1"/>
    <xf numFmtId="0" fontId="2" fillId="12" borderId="11" xfId="0" applyFont="1" applyFill="1" applyBorder="1"/>
    <xf numFmtId="166" fontId="2" fillId="12" borderId="12" xfId="0" applyNumberFormat="1" applyFont="1" applyFill="1" applyBorder="1"/>
    <xf numFmtId="166" fontId="2" fillId="12" borderId="13" xfId="1" applyFont="1" applyFill="1" applyBorder="1"/>
    <xf numFmtId="0" fontId="0" fillId="0" borderId="38" xfId="0" applyBorder="1"/>
    <xf numFmtId="0" fontId="0" fillId="0" borderId="40" xfId="0" applyBorder="1"/>
    <xf numFmtId="0" fontId="38" fillId="9" borderId="31" xfId="0" applyFont="1" applyFill="1" applyBorder="1"/>
    <xf numFmtId="0" fontId="36" fillId="9" borderId="1" xfId="0" applyFont="1" applyFill="1" applyBorder="1"/>
    <xf numFmtId="166" fontId="0" fillId="0" borderId="41" xfId="0" applyNumberFormat="1" applyBorder="1"/>
    <xf numFmtId="0" fontId="0" fillId="0" borderId="31" xfId="0" applyBorder="1"/>
    <xf numFmtId="0" fontId="36" fillId="9" borderId="2" xfId="0" applyFont="1" applyFill="1" applyBorder="1"/>
    <xf numFmtId="166" fontId="2" fillId="0" borderId="41" xfId="0" applyNumberFormat="1" applyFont="1" applyBorder="1"/>
    <xf numFmtId="0" fontId="15" fillId="0" borderId="4" xfId="0" applyFont="1" applyFill="1" applyBorder="1"/>
    <xf numFmtId="166" fontId="0" fillId="0" borderId="31" xfId="0" applyNumberFormat="1" applyBorder="1"/>
    <xf numFmtId="4" fontId="4" fillId="0" borderId="33" xfId="0" applyNumberFormat="1" applyFont="1" applyFill="1" applyBorder="1"/>
    <xf numFmtId="4" fontId="4" fillId="0" borderId="1" xfId="0" applyNumberFormat="1" applyFont="1" applyFill="1" applyBorder="1"/>
    <xf numFmtId="169" fontId="36" fillId="9" borderId="1" xfId="1" applyNumberFormat="1" applyFont="1" applyFill="1" applyBorder="1"/>
    <xf numFmtId="0" fontId="36" fillId="13" borderId="1" xfId="0" applyFont="1" applyFill="1" applyBorder="1"/>
    <xf numFmtId="0" fontId="39" fillId="13" borderId="1" xfId="0" applyFont="1" applyFill="1" applyBorder="1"/>
    <xf numFmtId="166" fontId="44" fillId="13" borderId="1" xfId="1" applyFont="1" applyFill="1" applyBorder="1"/>
    <xf numFmtId="166" fontId="36" fillId="13" borderId="1" xfId="1" applyFont="1" applyFill="1" applyBorder="1"/>
    <xf numFmtId="0" fontId="38" fillId="13" borderId="5" xfId="0" applyFont="1" applyFill="1" applyBorder="1"/>
    <xf numFmtId="0" fontId="38" fillId="13" borderId="6" xfId="0" applyFont="1" applyFill="1" applyBorder="1"/>
    <xf numFmtId="0" fontId="38" fillId="13" borderId="7" xfId="0" applyFont="1" applyFill="1" applyBorder="1"/>
    <xf numFmtId="0" fontId="64" fillId="0" borderId="0" xfId="8" applyFont="1" applyAlignment="1" applyProtection="1"/>
    <xf numFmtId="0" fontId="65" fillId="0" borderId="0" xfId="0" applyFont="1"/>
    <xf numFmtId="0" fontId="0" fillId="0" borderId="0" xfId="0" applyAlignment="1">
      <alignment horizontal="left" vertical="center" indent="1"/>
    </xf>
    <xf numFmtId="0" fontId="65" fillId="0" borderId="0" xfId="0" applyFont="1" applyAlignment="1">
      <alignment horizontal="left" vertical="center" indent="1"/>
    </xf>
    <xf numFmtId="0" fontId="66" fillId="0" borderId="0" xfId="0" applyFont="1" applyAlignment="1">
      <alignment horizontal="left" vertical="center" indent="1"/>
    </xf>
    <xf numFmtId="0" fontId="68" fillId="0" borderId="0" xfId="8" applyFont="1" applyAlignment="1" applyProtection="1"/>
    <xf numFmtId="0" fontId="69" fillId="0" borderId="0" xfId="0" applyFont="1"/>
    <xf numFmtId="0" fontId="70" fillId="0" borderId="0" xfId="8" applyFont="1" applyAlignment="1" applyProtection="1"/>
    <xf numFmtId="0" fontId="40" fillId="7" borderId="21" xfId="0" applyFont="1" applyFill="1" applyBorder="1" applyAlignment="1">
      <alignment horizontal="center"/>
    </xf>
    <xf numFmtId="0" fontId="40" fillId="7" borderId="0" xfId="0" applyFont="1" applyFill="1" applyBorder="1" applyAlignment="1">
      <alignment horizontal="center"/>
    </xf>
    <xf numFmtId="0" fontId="54" fillId="0" borderId="0" xfId="0" applyFont="1" applyAlignment="1">
      <alignment horizontal="center"/>
    </xf>
    <xf numFmtId="0" fontId="36" fillId="9" borderId="37" xfId="0" applyFont="1" applyFill="1" applyBorder="1" applyAlignment="1">
      <alignment horizontal="center"/>
    </xf>
    <xf numFmtId="0" fontId="36" fillId="9" borderId="38" xfId="0" applyFont="1" applyFill="1" applyBorder="1" applyAlignment="1">
      <alignment horizontal="center"/>
    </xf>
    <xf numFmtId="0" fontId="36" fillId="9" borderId="39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43" fillId="7" borderId="5" xfId="0" applyFont="1" applyFill="1" applyBorder="1" applyAlignment="1">
      <alignment horizontal="center" vertical="center" wrapText="1"/>
    </xf>
    <xf numFmtId="0" fontId="43" fillId="7" borderId="8" xfId="0" applyFont="1" applyFill="1" applyBorder="1" applyAlignment="1">
      <alignment horizontal="center" vertical="center" wrapText="1"/>
    </xf>
    <xf numFmtId="0" fontId="43" fillId="7" borderId="6" xfId="0" applyFont="1" applyFill="1" applyBorder="1" applyAlignment="1">
      <alignment horizontal="center" vertical="center"/>
    </xf>
    <xf numFmtId="0" fontId="43" fillId="7" borderId="7" xfId="0" applyFont="1" applyFill="1" applyBorder="1" applyAlignment="1">
      <alignment horizontal="center" vertical="center"/>
    </xf>
    <xf numFmtId="0" fontId="45" fillId="7" borderId="15" xfId="0" applyFont="1" applyFill="1" applyBorder="1" applyAlignment="1">
      <alignment horizontal="center"/>
    </xf>
    <xf numFmtId="0" fontId="45" fillId="7" borderId="16" xfId="0" applyFont="1" applyFill="1" applyBorder="1" applyAlignment="1">
      <alignment horizontal="center"/>
    </xf>
    <xf numFmtId="0" fontId="45" fillId="7" borderId="17" xfId="0" applyFont="1" applyFill="1" applyBorder="1" applyAlignment="1">
      <alignment horizontal="center"/>
    </xf>
    <xf numFmtId="3" fontId="46" fillId="7" borderId="18" xfId="3" applyNumberFormat="1" applyFont="1" applyFill="1" applyBorder="1" applyAlignment="1">
      <alignment horizontal="center"/>
    </xf>
    <xf numFmtId="3" fontId="46" fillId="7" borderId="19" xfId="3" applyNumberFormat="1" applyFont="1" applyFill="1" applyBorder="1" applyAlignment="1">
      <alignment horizontal="center"/>
    </xf>
    <xf numFmtId="4" fontId="47" fillId="7" borderId="1" xfId="3" applyNumberFormat="1" applyFont="1" applyFill="1" applyBorder="1" applyAlignment="1">
      <alignment horizontal="center"/>
    </xf>
    <xf numFmtId="168" fontId="47" fillId="7" borderId="1" xfId="3" applyNumberFormat="1" applyFont="1" applyFill="1" applyBorder="1" applyAlignment="1">
      <alignment horizontal="center" wrapText="1"/>
    </xf>
    <xf numFmtId="0" fontId="27" fillId="0" borderId="14" xfId="0" applyFont="1" applyBorder="1" applyAlignment="1">
      <alignment horizontal="center" wrapText="1"/>
    </xf>
    <xf numFmtId="0" fontId="27" fillId="0" borderId="0" xfId="0" applyFont="1" applyBorder="1" applyAlignment="1">
      <alignment horizontal="center" wrapText="1"/>
    </xf>
    <xf numFmtId="0" fontId="36" fillId="7" borderId="24" xfId="0" applyFont="1" applyFill="1" applyBorder="1" applyAlignment="1">
      <alignment horizontal="center"/>
    </xf>
    <xf numFmtId="0" fontId="36" fillId="7" borderId="23" xfId="0" applyFont="1" applyFill="1" applyBorder="1" applyAlignment="1">
      <alignment horizontal="center"/>
    </xf>
    <xf numFmtId="0" fontId="36" fillId="7" borderId="15" xfId="0" applyFont="1" applyFill="1" applyBorder="1" applyAlignment="1">
      <alignment horizontal="center"/>
    </xf>
    <xf numFmtId="0" fontId="36" fillId="7" borderId="16" xfId="0" applyFont="1" applyFill="1" applyBorder="1" applyAlignment="1">
      <alignment horizontal="center"/>
    </xf>
    <xf numFmtId="0" fontId="36" fillId="7" borderId="17" xfId="0" applyFont="1" applyFill="1" applyBorder="1" applyAlignment="1">
      <alignment horizont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50" fillId="7" borderId="27" xfId="0" applyFont="1" applyFill="1" applyBorder="1" applyAlignment="1">
      <alignment horizontal="center"/>
    </xf>
    <xf numFmtId="0" fontId="50" fillId="7" borderId="28" xfId="0" applyFont="1" applyFill="1" applyBorder="1" applyAlignment="1">
      <alignment horizontal="center"/>
    </xf>
    <xf numFmtId="0" fontId="49" fillId="7" borderId="30" xfId="0" applyFont="1" applyFill="1" applyBorder="1" applyAlignment="1">
      <alignment horizontal="center"/>
    </xf>
    <xf numFmtId="0" fontId="49" fillId="7" borderId="31" xfId="0" applyFont="1" applyFill="1" applyBorder="1" applyAlignment="1">
      <alignment horizontal="center"/>
    </xf>
    <xf numFmtId="0" fontId="49" fillId="7" borderId="18" xfId="0" applyFont="1" applyFill="1" applyBorder="1" applyAlignment="1">
      <alignment horizontal="center"/>
    </xf>
    <xf numFmtId="0" fontId="49" fillId="7" borderId="32" xfId="0" applyFont="1" applyFill="1" applyBorder="1" applyAlignment="1">
      <alignment horizontal="center"/>
    </xf>
    <xf numFmtId="0" fontId="62" fillId="0" borderId="0" xfId="0" applyFont="1" applyAlignment="1">
      <alignment horizontal="center"/>
    </xf>
  </cellXfs>
  <cellStyles count="9">
    <cellStyle name="Hipervínculo" xfId="8" builtinId="8"/>
    <cellStyle name="Millares" xfId="1" builtinId="3"/>
    <cellStyle name="Millares [0]" xfId="2" builtinId="6"/>
    <cellStyle name="Millares_EVALUACION_APICOLA_FINAL_formato  Max_corregida 2" xfId="4"/>
    <cellStyle name="Moneda" xfId="7" builtinId="4"/>
    <cellStyle name="Moneda_EVALUACION_APICOLA_FINAL_formato  Max_corregida 2" xfId="6"/>
    <cellStyle name="Normal" xfId="0" builtinId="0"/>
    <cellStyle name="Normal 2" xfId="3"/>
    <cellStyle name="Porcentual 2" xfId="5"/>
  </cellStyles>
  <dxfs count="2">
    <dxf>
      <font>
        <b/>
        <i val="0"/>
        <strike val="0"/>
        <condense val="0"/>
        <extend val="0"/>
        <color auto="1"/>
      </font>
      <fill>
        <patternFill>
          <bgColor indexed="26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D16309"/>
      <color rgb="FF602E0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486025" y="4924425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428625</xdr:colOff>
      <xdr:row>61</xdr:row>
      <xdr:rowOff>0</xdr:rowOff>
    </xdr:from>
    <xdr:to>
      <xdr:col>3</xdr:col>
      <xdr:colOff>95250</xdr:colOff>
      <xdr:row>61</xdr:row>
      <xdr:rowOff>0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2009775" y="10134600"/>
          <a:ext cx="571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TIR =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groproyectos.org/" TargetMode="External"/><Relationship Id="rId2" Type="http://schemas.openxmlformats.org/officeDocument/2006/relationships/hyperlink" Target="http://feedburner.google.com/fb/a/mailverify?uri=Agroproyectos&amp;loc=es_ES" TargetMode="External"/><Relationship Id="rId1" Type="http://schemas.openxmlformats.org/officeDocument/2006/relationships/hyperlink" Target="http://www.agroproyectos.org/p/relacion-de-corridas-financieras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4"/>
  <sheetViews>
    <sheetView showGridLines="0" tabSelected="1" workbookViewId="0">
      <selection activeCell="B37" sqref="B37"/>
    </sheetView>
  </sheetViews>
  <sheetFormatPr baseColWidth="10" defaultRowHeight="15" x14ac:dyDescent="0.2"/>
  <cols>
    <col min="1" max="1" width="3.140625" style="114" customWidth="1"/>
    <col min="2" max="2" width="40.42578125" style="114" customWidth="1"/>
    <col min="3" max="3" width="15.7109375" style="114" customWidth="1"/>
    <col min="4" max="4" width="14.140625" style="114" customWidth="1"/>
    <col min="5" max="5" width="16" style="114" customWidth="1"/>
    <col min="6" max="6" width="18" style="114" customWidth="1"/>
    <col min="7" max="7" width="15.28515625" style="114" customWidth="1"/>
    <col min="8" max="8" width="21.85546875" style="114" customWidth="1"/>
    <col min="9" max="16384" width="11.42578125" style="114"/>
  </cols>
  <sheetData>
    <row r="2" spans="2:8" ht="23.25" x14ac:dyDescent="0.35">
      <c r="B2" s="295" t="s">
        <v>230</v>
      </c>
    </row>
    <row r="3" spans="2:8" ht="15.75" x14ac:dyDescent="0.25">
      <c r="B3" s="113"/>
      <c r="C3" s="113"/>
      <c r="D3" s="113"/>
      <c r="E3" s="113"/>
      <c r="F3" s="113"/>
      <c r="G3" s="335" t="s">
        <v>104</v>
      </c>
      <c r="H3" s="336"/>
    </row>
    <row r="4" spans="2:8" ht="15.75" x14ac:dyDescent="0.25">
      <c r="B4" s="135" t="s">
        <v>97</v>
      </c>
      <c r="C4" s="135" t="s">
        <v>105</v>
      </c>
      <c r="D4" s="135" t="s">
        <v>106</v>
      </c>
      <c r="E4" s="135" t="s">
        <v>107</v>
      </c>
      <c r="F4" s="135" t="s">
        <v>108</v>
      </c>
      <c r="G4" s="135" t="s">
        <v>109</v>
      </c>
      <c r="H4" s="135" t="s">
        <v>229</v>
      </c>
    </row>
    <row r="5" spans="2:8" ht="15.75" x14ac:dyDescent="0.25">
      <c r="B5" s="135" t="s">
        <v>110</v>
      </c>
      <c r="C5" s="115"/>
      <c r="D5" s="116"/>
      <c r="E5" s="116"/>
      <c r="F5" s="116"/>
      <c r="G5" s="116"/>
      <c r="H5" s="116"/>
    </row>
    <row r="6" spans="2:8" x14ac:dyDescent="0.2">
      <c r="B6" s="115" t="s">
        <v>138</v>
      </c>
      <c r="C6" s="115" t="s">
        <v>139</v>
      </c>
      <c r="D6" s="116">
        <v>1</v>
      </c>
      <c r="E6" s="116">
        <v>7800</v>
      </c>
      <c r="F6" s="116">
        <f t="shared" ref="F6:F13" si="0">E6*D6</f>
        <v>7800</v>
      </c>
      <c r="G6" s="116">
        <v>0</v>
      </c>
      <c r="H6" s="116">
        <f t="shared" ref="H6:H12" si="1">F6</f>
        <v>7800</v>
      </c>
    </row>
    <row r="7" spans="2:8" x14ac:dyDescent="0.2">
      <c r="B7" s="115" t="s">
        <v>140</v>
      </c>
      <c r="C7" s="115" t="s">
        <v>141</v>
      </c>
      <c r="D7" s="116">
        <v>15</v>
      </c>
      <c r="E7" s="116">
        <v>800</v>
      </c>
      <c r="F7" s="116">
        <f t="shared" si="0"/>
        <v>12000</v>
      </c>
      <c r="G7" s="116">
        <v>0</v>
      </c>
      <c r="H7" s="116">
        <f t="shared" si="1"/>
        <v>12000</v>
      </c>
    </row>
    <row r="8" spans="2:8" x14ac:dyDescent="0.2">
      <c r="B8" s="115" t="s">
        <v>142</v>
      </c>
      <c r="C8" s="115" t="s">
        <v>141</v>
      </c>
      <c r="D8" s="116">
        <v>15</v>
      </c>
      <c r="E8" s="116">
        <v>1765</v>
      </c>
      <c r="F8" s="116">
        <f t="shared" si="0"/>
        <v>26475</v>
      </c>
      <c r="G8" s="116">
        <v>0</v>
      </c>
      <c r="H8" s="116">
        <f t="shared" si="1"/>
        <v>26475</v>
      </c>
    </row>
    <row r="9" spans="2:8" x14ac:dyDescent="0.2">
      <c r="B9" s="115" t="s">
        <v>143</v>
      </c>
      <c r="C9" s="115" t="s">
        <v>141</v>
      </c>
      <c r="D9" s="116">
        <v>15</v>
      </c>
      <c r="E9" s="116">
        <v>230</v>
      </c>
      <c r="F9" s="116">
        <f t="shared" si="0"/>
        <v>3450</v>
      </c>
      <c r="G9" s="116">
        <v>0</v>
      </c>
      <c r="H9" s="116">
        <f t="shared" si="1"/>
        <v>3450</v>
      </c>
    </row>
    <row r="10" spans="2:8" x14ac:dyDescent="0.2">
      <c r="B10" s="115" t="s">
        <v>144</v>
      </c>
      <c r="C10" s="115" t="s">
        <v>139</v>
      </c>
      <c r="D10" s="116">
        <v>10</v>
      </c>
      <c r="E10" s="116">
        <v>650</v>
      </c>
      <c r="F10" s="116">
        <f t="shared" si="0"/>
        <v>6500</v>
      </c>
      <c r="G10" s="116">
        <v>0</v>
      </c>
      <c r="H10" s="116">
        <f t="shared" si="1"/>
        <v>6500</v>
      </c>
    </row>
    <row r="11" spans="2:8" x14ac:dyDescent="0.2">
      <c r="B11" s="115" t="s">
        <v>180</v>
      </c>
      <c r="C11" s="115" t="s">
        <v>139</v>
      </c>
      <c r="D11" s="116">
        <v>1</v>
      </c>
      <c r="E11" s="116">
        <v>147100</v>
      </c>
      <c r="F11" s="116">
        <f t="shared" si="0"/>
        <v>147100</v>
      </c>
      <c r="G11" s="116">
        <v>0</v>
      </c>
      <c r="H11" s="116">
        <f t="shared" si="1"/>
        <v>147100</v>
      </c>
    </row>
    <row r="12" spans="2:8" x14ac:dyDescent="0.2">
      <c r="B12" s="115" t="s">
        <v>227</v>
      </c>
      <c r="C12" s="115" t="s">
        <v>137</v>
      </c>
      <c r="D12" s="116">
        <v>1</v>
      </c>
      <c r="E12" s="116">
        <v>1150000</v>
      </c>
      <c r="F12" s="116">
        <f t="shared" si="0"/>
        <v>1150000</v>
      </c>
      <c r="G12" s="116"/>
      <c r="H12" s="116">
        <f t="shared" si="1"/>
        <v>1150000</v>
      </c>
    </row>
    <row r="13" spans="2:8" x14ac:dyDescent="0.2">
      <c r="B13" s="115"/>
      <c r="C13" s="115"/>
      <c r="D13" s="116"/>
      <c r="E13" s="116"/>
      <c r="F13" s="116">
        <f t="shared" si="0"/>
        <v>0</v>
      </c>
      <c r="G13" s="116"/>
      <c r="H13" s="116"/>
    </row>
    <row r="14" spans="2:8" ht="15.75" x14ac:dyDescent="0.25">
      <c r="B14" s="125" t="s">
        <v>13</v>
      </c>
      <c r="C14" s="126"/>
      <c r="D14" s="127"/>
      <c r="E14" s="127"/>
      <c r="F14" s="128">
        <f>SUM(F6:F13)</f>
        <v>1353325</v>
      </c>
      <c r="G14" s="128">
        <f>SUM(G6:G13)</f>
        <v>0</v>
      </c>
      <c r="H14" s="128">
        <f>SUM(H6:H13)</f>
        <v>1353325</v>
      </c>
    </row>
    <row r="15" spans="2:8" x14ac:dyDescent="0.2">
      <c r="B15" s="115"/>
      <c r="C15" s="115"/>
      <c r="D15" s="116"/>
      <c r="E15" s="116"/>
      <c r="F15" s="116"/>
      <c r="G15" s="116"/>
      <c r="H15" s="116"/>
    </row>
    <row r="16" spans="2:8" ht="15.75" x14ac:dyDescent="0.25">
      <c r="B16" s="135" t="s">
        <v>111</v>
      </c>
      <c r="C16" s="115"/>
      <c r="D16" s="116"/>
      <c r="E16" s="116"/>
      <c r="F16" s="116"/>
      <c r="G16" s="116"/>
      <c r="H16" s="116"/>
    </row>
    <row r="17" spans="2:8" x14ac:dyDescent="0.2">
      <c r="B17" s="115" t="s">
        <v>145</v>
      </c>
      <c r="C17" s="115" t="s">
        <v>137</v>
      </c>
      <c r="D17" s="116">
        <v>1</v>
      </c>
      <c r="E17" s="116">
        <v>15000</v>
      </c>
      <c r="F17" s="116">
        <f t="shared" ref="F17:F19" si="2">E17*D17</f>
        <v>15000</v>
      </c>
      <c r="G17" s="116"/>
      <c r="H17" s="116">
        <f>F17</f>
        <v>15000</v>
      </c>
    </row>
    <row r="18" spans="2:8" x14ac:dyDescent="0.2">
      <c r="B18" s="115" t="s">
        <v>146</v>
      </c>
      <c r="C18" s="115" t="s">
        <v>137</v>
      </c>
      <c r="D18" s="116">
        <v>1</v>
      </c>
      <c r="E18" s="116">
        <v>80000</v>
      </c>
      <c r="F18" s="116">
        <f t="shared" si="2"/>
        <v>80000</v>
      </c>
      <c r="G18" s="116"/>
      <c r="H18" s="116">
        <f>F18</f>
        <v>80000</v>
      </c>
    </row>
    <row r="19" spans="2:8" x14ac:dyDescent="0.2">
      <c r="B19" s="115"/>
      <c r="C19" s="115"/>
      <c r="D19" s="116"/>
      <c r="E19" s="116"/>
      <c r="F19" s="116">
        <f t="shared" si="2"/>
        <v>0</v>
      </c>
      <c r="G19" s="116">
        <f>F19</f>
        <v>0</v>
      </c>
      <c r="H19" s="116">
        <v>0</v>
      </c>
    </row>
    <row r="20" spans="2:8" x14ac:dyDescent="0.2">
      <c r="B20" s="115"/>
      <c r="C20" s="115"/>
      <c r="D20" s="116"/>
      <c r="E20" s="116"/>
      <c r="F20" s="116"/>
      <c r="G20" s="116"/>
      <c r="H20" s="116"/>
    </row>
    <row r="21" spans="2:8" ht="15.75" x14ac:dyDescent="0.25">
      <c r="B21" s="125" t="s">
        <v>13</v>
      </c>
      <c r="C21" s="126"/>
      <c r="D21" s="127"/>
      <c r="E21" s="127"/>
      <c r="F21" s="128">
        <f>SUM(F17:F20)</f>
        <v>95000</v>
      </c>
      <c r="G21" s="128">
        <f>SUM(G17:G20)</f>
        <v>0</v>
      </c>
      <c r="H21" s="128">
        <f>SUM(H17:H20)</f>
        <v>95000</v>
      </c>
    </row>
    <row r="22" spans="2:8" x14ac:dyDescent="0.2">
      <c r="B22" s="115"/>
      <c r="C22" s="115"/>
      <c r="D22" s="116"/>
      <c r="E22" s="116"/>
      <c r="F22" s="116"/>
      <c r="G22" s="116"/>
      <c r="H22" s="116"/>
    </row>
    <row r="23" spans="2:8" ht="15.75" x14ac:dyDescent="0.25">
      <c r="B23" s="135" t="s">
        <v>103</v>
      </c>
      <c r="C23" s="115"/>
      <c r="D23" s="116"/>
      <c r="E23" s="116"/>
      <c r="F23" s="116"/>
      <c r="G23" s="116"/>
      <c r="H23" s="116"/>
    </row>
    <row r="24" spans="2:8" ht="19.5" customHeight="1" x14ac:dyDescent="0.2">
      <c r="B24" s="115" t="s">
        <v>203</v>
      </c>
      <c r="C24" s="115" t="s">
        <v>112</v>
      </c>
      <c r="D24" s="116">
        <v>1</v>
      </c>
      <c r="E24" s="116">
        <f>PaqueteTecn!G12*25</f>
        <v>204700</v>
      </c>
      <c r="F24" s="116">
        <f>E24*D24</f>
        <v>204700</v>
      </c>
      <c r="G24" s="116">
        <f>F24-H24</f>
        <v>179700</v>
      </c>
      <c r="H24" s="116">
        <f>25000</f>
        <v>25000</v>
      </c>
    </row>
    <row r="25" spans="2:8" ht="18" customHeight="1" x14ac:dyDescent="0.2">
      <c r="B25" s="115" t="s">
        <v>204</v>
      </c>
      <c r="C25" s="115" t="s">
        <v>112</v>
      </c>
      <c r="D25" s="116">
        <v>1</v>
      </c>
      <c r="E25" s="116">
        <f>Costos!C11</f>
        <v>470640</v>
      </c>
      <c r="F25" s="116">
        <f>E25*D25</f>
        <v>470640</v>
      </c>
      <c r="G25" s="116">
        <f>F25</f>
        <v>470640</v>
      </c>
      <c r="H25" s="116"/>
    </row>
    <row r="26" spans="2:8" ht="15.75" x14ac:dyDescent="0.25">
      <c r="B26" s="125" t="s">
        <v>13</v>
      </c>
      <c r="C26" s="126"/>
      <c r="D26" s="127"/>
      <c r="E26" s="127"/>
      <c r="F26" s="128">
        <f>SUM(F24:F25)</f>
        <v>675340</v>
      </c>
      <c r="G26" s="128">
        <f>SUM(G24:G25)</f>
        <v>650340</v>
      </c>
      <c r="H26" s="128">
        <f>SUM(H24:H25)</f>
        <v>25000</v>
      </c>
    </row>
    <row r="27" spans="2:8" x14ac:dyDescent="0.2">
      <c r="B27" s="115"/>
      <c r="C27" s="115"/>
      <c r="D27" s="116"/>
      <c r="E27" s="116"/>
      <c r="F27" s="116"/>
      <c r="G27" s="116"/>
      <c r="H27" s="116"/>
    </row>
    <row r="28" spans="2:8" ht="15.75" x14ac:dyDescent="0.25">
      <c r="B28" s="135" t="s">
        <v>113</v>
      </c>
      <c r="C28" s="136"/>
      <c r="D28" s="137"/>
      <c r="E28" s="137"/>
      <c r="F28" s="138">
        <f>SUM(F26+F21+F14)</f>
        <v>2123665</v>
      </c>
      <c r="G28" s="138">
        <f>SUM(G26+G21+G14)</f>
        <v>650340</v>
      </c>
      <c r="H28" s="138">
        <f>SUM(H26+H21+H14)</f>
        <v>1473325</v>
      </c>
    </row>
    <row r="30" spans="2:8" ht="15.75" x14ac:dyDescent="0.25">
      <c r="B30" s="117" t="s">
        <v>114</v>
      </c>
      <c r="F30" s="118">
        <f>F28/F28</f>
        <v>1</v>
      </c>
      <c r="G30" s="236">
        <f>G28/F28</f>
        <v>0.30623474041338911</v>
      </c>
      <c r="H30" s="236">
        <f>H28/F28</f>
        <v>0.69376525958661084</v>
      </c>
    </row>
    <row r="33" spans="2:4" ht="15.75" x14ac:dyDescent="0.25">
      <c r="B33" s="113"/>
      <c r="C33" s="113"/>
      <c r="D33" s="119"/>
    </row>
    <row r="34" spans="2:4" ht="15.75" x14ac:dyDescent="0.25">
      <c r="B34" s="113"/>
      <c r="C34" s="113"/>
      <c r="D34" s="118"/>
    </row>
  </sheetData>
  <mergeCells count="1">
    <mergeCell ref="G3:H3"/>
  </mergeCells>
  <pageMargins left="0.7" right="0.7" top="0.75" bottom="0.75" header="0.3" footer="0.3"/>
  <pageSetup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5"/>
  <sheetViews>
    <sheetView showGridLines="0" workbookViewId="0">
      <selection activeCell="I20" sqref="I20"/>
    </sheetView>
  </sheetViews>
  <sheetFormatPr baseColWidth="10" defaultRowHeight="12.75" x14ac:dyDescent="0.2"/>
  <cols>
    <col min="1" max="16384" width="11.42578125" style="6"/>
  </cols>
  <sheetData>
    <row r="2" spans="2:8" ht="15.75" x14ac:dyDescent="0.25">
      <c r="C2" s="363" t="s">
        <v>96</v>
      </c>
      <c r="D2" s="363"/>
      <c r="E2" s="363"/>
      <c r="F2" s="363"/>
    </row>
    <row r="3" spans="2:8" ht="13.5" thickBot="1" x14ac:dyDescent="0.25"/>
    <row r="4" spans="2:8" ht="15" thickBot="1" x14ac:dyDescent="0.25">
      <c r="B4" s="150" t="s">
        <v>97</v>
      </c>
      <c r="C4" s="146"/>
      <c r="D4" s="147" t="s">
        <v>18</v>
      </c>
      <c r="E4" s="148" t="s">
        <v>19</v>
      </c>
      <c r="F4" s="147" t="s">
        <v>20</v>
      </c>
      <c r="G4" s="148" t="s">
        <v>21</v>
      </c>
      <c r="H4" s="149" t="s">
        <v>22</v>
      </c>
    </row>
    <row r="5" spans="2:8" ht="14.25" x14ac:dyDescent="0.2">
      <c r="B5" s="364"/>
      <c r="C5" s="365"/>
      <c r="D5" s="99"/>
      <c r="E5" s="99"/>
      <c r="F5" s="99"/>
      <c r="G5" s="99"/>
      <c r="H5" s="99"/>
    </row>
    <row r="6" spans="2:8" ht="14.25" x14ac:dyDescent="0.2">
      <c r="B6" s="366" t="s">
        <v>48</v>
      </c>
      <c r="C6" s="367"/>
      <c r="D6" s="100">
        <f>Ingresos!C14</f>
        <v>2214000</v>
      </c>
      <c r="E6" s="100">
        <f>Ingresos!D14</f>
        <v>2280862.8000000003</v>
      </c>
      <c r="F6" s="100">
        <f>Ingresos!E14</f>
        <v>2349744.8565600007</v>
      </c>
      <c r="G6" s="100">
        <f>Ingresos!F14</f>
        <v>2420707.1512281122</v>
      </c>
      <c r="H6" s="100">
        <f>Ingresos!G14</f>
        <v>2493812.5071952017</v>
      </c>
    </row>
    <row r="7" spans="2:8" ht="14.25" x14ac:dyDescent="0.2">
      <c r="B7" s="366" t="s">
        <v>12</v>
      </c>
      <c r="C7" s="367"/>
      <c r="D7" s="100">
        <f>Costos!C11</f>
        <v>470640</v>
      </c>
      <c r="E7" s="100">
        <f>Costos!D11</f>
        <v>475346.4</v>
      </c>
      <c r="F7" s="100">
        <f>Costos!E11</f>
        <v>480099.864</v>
      </c>
      <c r="G7" s="100">
        <f>Costos!F11</f>
        <v>484900.86264000006</v>
      </c>
      <c r="H7" s="100">
        <f>Costos!G11</f>
        <v>489749.87126640003</v>
      </c>
    </row>
    <row r="8" spans="2:8" ht="14.25" x14ac:dyDescent="0.2">
      <c r="B8" s="368" t="s">
        <v>15</v>
      </c>
      <c r="C8" s="369"/>
      <c r="D8" s="101">
        <f>Costos!C24</f>
        <v>1148485</v>
      </c>
      <c r="E8" s="101">
        <f>Costos!D24</f>
        <v>1159969.8500000001</v>
      </c>
      <c r="F8" s="101">
        <f>Costos!E24</f>
        <v>1171569.5485</v>
      </c>
      <c r="G8" s="101">
        <f>Costos!F24</f>
        <v>1183285.2439850001</v>
      </c>
      <c r="H8" s="101">
        <f>Costos!G24</f>
        <v>1195118.0964248502</v>
      </c>
    </row>
    <row r="9" spans="2:8" ht="14.25" x14ac:dyDescent="0.2">
      <c r="B9" s="151" t="s">
        <v>75</v>
      </c>
      <c r="C9" s="152" t="s">
        <v>75</v>
      </c>
      <c r="D9" s="90"/>
      <c r="E9" s="90"/>
      <c r="F9" s="90"/>
      <c r="G9" s="90"/>
      <c r="H9" s="90"/>
    </row>
    <row r="10" spans="2:8" ht="15" thickBot="1" x14ac:dyDescent="0.25">
      <c r="B10" s="153" t="s">
        <v>75</v>
      </c>
      <c r="C10" s="152"/>
      <c r="D10" s="90"/>
      <c r="E10" s="90"/>
      <c r="F10" s="90"/>
      <c r="G10" s="90"/>
      <c r="H10" s="90" t="s">
        <v>75</v>
      </c>
    </row>
    <row r="11" spans="2:8" ht="14.25" x14ac:dyDescent="0.2">
      <c r="B11" s="154" t="s">
        <v>98</v>
      </c>
      <c r="C11" s="155"/>
      <c r="D11" s="102">
        <f>(D7/(1-D8/D6))</f>
        <v>977928.00664467423</v>
      </c>
      <c r="E11" s="102">
        <f>(E7/(1-E8/E6))</f>
        <v>967264.46613293444</v>
      </c>
      <c r="F11" s="102">
        <f>(F7/(1-F8/F6))</f>
        <v>957507.91783840768</v>
      </c>
      <c r="G11" s="102">
        <f>(G7/(1-G8/G6))</f>
        <v>948587.52617729071</v>
      </c>
      <c r="H11" s="102">
        <f>(H7/(1-H8/H6))</f>
        <v>940440.14067706559</v>
      </c>
    </row>
    <row r="12" spans="2:8" ht="14.25" x14ac:dyDescent="0.2">
      <c r="B12" s="156"/>
      <c r="C12" s="157"/>
      <c r="D12" s="103"/>
      <c r="E12" s="103"/>
      <c r="F12" s="103"/>
      <c r="G12" s="103"/>
      <c r="H12" s="103"/>
    </row>
    <row r="13" spans="2:8" ht="14.25" x14ac:dyDescent="0.2">
      <c r="B13" s="158" t="s">
        <v>99</v>
      </c>
      <c r="C13" s="159"/>
      <c r="D13" s="104">
        <f>+D11/D6</f>
        <v>0.44170190002017806</v>
      </c>
      <c r="E13" s="104">
        <f>+E11/E6</f>
        <v>0.42407832077095314</v>
      </c>
      <c r="F13" s="104">
        <f>+F11/F6</f>
        <v>0.40749442015597737</v>
      </c>
      <c r="G13" s="104">
        <f>+G11/G6</f>
        <v>0.39186380958805284</v>
      </c>
      <c r="H13" s="104">
        <f>+H11/H6</f>
        <v>0.37710940095283324</v>
      </c>
    </row>
    <row r="14" spans="2:8" ht="15" thickBot="1" x14ac:dyDescent="0.25">
      <c r="B14" s="160"/>
      <c r="C14" s="161"/>
      <c r="D14" s="105"/>
      <c r="E14" s="105"/>
      <c r="F14" s="105"/>
      <c r="G14" s="105"/>
      <c r="H14" s="105"/>
    </row>
    <row r="16" spans="2:8" x14ac:dyDescent="0.2">
      <c r="D16" s="38"/>
      <c r="E16" s="38"/>
      <c r="F16" s="38"/>
    </row>
    <row r="17" spans="4:6" ht="13.5" thickBot="1" x14ac:dyDescent="0.25">
      <c r="D17" s="38"/>
      <c r="E17" s="38"/>
      <c r="F17" s="38"/>
    </row>
    <row r="18" spans="4:6" x14ac:dyDescent="0.2">
      <c r="D18" s="107" t="s">
        <v>100</v>
      </c>
      <c r="E18" s="108"/>
      <c r="F18" s="38"/>
    </row>
    <row r="19" spans="4:6" x14ac:dyDescent="0.2">
      <c r="D19" s="109" t="s">
        <v>101</v>
      </c>
      <c r="E19" s="110"/>
      <c r="F19" s="38"/>
    </row>
    <row r="20" spans="4:6" ht="13.5" thickBot="1" x14ac:dyDescent="0.25">
      <c r="D20" s="111" t="s">
        <v>102</v>
      </c>
      <c r="E20" s="112"/>
      <c r="F20" s="38"/>
    </row>
    <row r="21" spans="4:6" x14ac:dyDescent="0.2">
      <c r="D21" s="106"/>
      <c r="E21" s="106"/>
      <c r="F21" s="38"/>
    </row>
    <row r="22" spans="4:6" x14ac:dyDescent="0.2">
      <c r="D22" s="106"/>
      <c r="E22" s="106"/>
      <c r="F22" s="38"/>
    </row>
    <row r="23" spans="4:6" x14ac:dyDescent="0.2">
      <c r="D23" s="106"/>
      <c r="E23" s="106"/>
      <c r="F23" s="38"/>
    </row>
    <row r="24" spans="4:6" x14ac:dyDescent="0.2">
      <c r="D24" s="106"/>
      <c r="E24" s="106"/>
      <c r="F24" s="38"/>
    </row>
    <row r="25" spans="4:6" x14ac:dyDescent="0.2">
      <c r="D25" s="38"/>
      <c r="E25" s="38"/>
      <c r="F25" s="38"/>
    </row>
  </sheetData>
  <mergeCells count="5">
    <mergeCell ref="C2:F2"/>
    <mergeCell ref="B5:C5"/>
    <mergeCell ref="B6:C6"/>
    <mergeCell ref="B7:C7"/>
    <mergeCell ref="B8:C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4"/>
  <sheetViews>
    <sheetView showGridLines="0" topLeftCell="A3" zoomScale="85" zoomScaleNormal="85" workbookViewId="0">
      <selection activeCell="B18" sqref="B18"/>
    </sheetView>
  </sheetViews>
  <sheetFormatPr baseColWidth="10" defaultRowHeight="15" x14ac:dyDescent="0.25"/>
  <cols>
    <col min="2" max="2" width="54.5703125" customWidth="1"/>
    <col min="3" max="3" width="12.28515625" bestFit="1" customWidth="1"/>
    <col min="4" max="4" width="11.5703125" bestFit="1" customWidth="1"/>
    <col min="5" max="5" width="12" bestFit="1" customWidth="1"/>
    <col min="6" max="6" width="14.85546875" bestFit="1" customWidth="1"/>
    <col min="7" max="7" width="11.5703125" bestFit="1" customWidth="1"/>
    <col min="8" max="8" width="14.85546875" customWidth="1"/>
    <col min="9" max="9" width="19" bestFit="1" customWidth="1"/>
    <col min="10" max="10" width="15.42578125" customWidth="1"/>
  </cols>
  <sheetData>
    <row r="3" spans="2:10" ht="20.25" x14ac:dyDescent="0.3">
      <c r="B3" s="235" t="str">
        <f>Ingresos!B1</f>
        <v>Cultivo y Produccion de Frijol</v>
      </c>
    </row>
    <row r="4" spans="2:10" ht="16.5" thickBot="1" x14ac:dyDescent="0.3">
      <c r="D4" s="113"/>
      <c r="E4" s="113"/>
    </row>
    <row r="5" spans="2:10" ht="25.5" x14ac:dyDescent="0.25">
      <c r="B5" s="289" t="s">
        <v>77</v>
      </c>
      <c r="C5" s="290" t="s">
        <v>115</v>
      </c>
      <c r="D5" s="290" t="s">
        <v>116</v>
      </c>
      <c r="E5" s="289" t="s">
        <v>117</v>
      </c>
      <c r="F5" s="289" t="s">
        <v>118</v>
      </c>
      <c r="G5" s="289" t="s">
        <v>119</v>
      </c>
      <c r="H5" s="289" t="s">
        <v>120</v>
      </c>
      <c r="I5" s="289" t="s">
        <v>121</v>
      </c>
      <c r="J5" s="291" t="s">
        <v>122</v>
      </c>
    </row>
    <row r="6" spans="2:10" x14ac:dyDescent="0.25">
      <c r="B6" s="3"/>
      <c r="C6" s="3"/>
      <c r="D6" s="3"/>
      <c r="E6" s="3"/>
      <c r="F6" s="3"/>
      <c r="G6" s="123"/>
      <c r="H6" s="3"/>
      <c r="I6" s="3"/>
      <c r="J6" s="63"/>
    </row>
    <row r="7" spans="2:10" ht="30" customHeight="1" x14ac:dyDescent="0.25">
      <c r="B7" s="120" t="str">
        <f>EstructuraFinanc!B6</f>
        <v>Motobomba centrifuga 5.5 hp</v>
      </c>
      <c r="C7" s="120" t="str">
        <f>EstructuraFinanc!C6</f>
        <v>equipo</v>
      </c>
      <c r="D7" s="120">
        <f>EstructuraFinanc!D6</f>
        <v>1</v>
      </c>
      <c r="E7" s="120">
        <f>EstructuraFinanc!E6</f>
        <v>7800</v>
      </c>
      <c r="F7" s="121">
        <f>E7*D7</f>
        <v>7800</v>
      </c>
      <c r="G7" s="122">
        <v>10</v>
      </c>
      <c r="H7" s="121">
        <f>F7/G7</f>
        <v>780</v>
      </c>
      <c r="I7" s="121">
        <f>H7*5</f>
        <v>3900</v>
      </c>
      <c r="J7" s="61">
        <f>F7-I7</f>
        <v>3900</v>
      </c>
    </row>
    <row r="8" spans="2:10" x14ac:dyDescent="0.25">
      <c r="B8" s="120" t="str">
        <f>EstructuraFinanc!B7</f>
        <v>Manguera negra de 1 pulgada 100 m</v>
      </c>
      <c r="C8" s="120" t="str">
        <f>EstructuraFinanc!C7</f>
        <v>rollo</v>
      </c>
      <c r="D8" s="120">
        <f>EstructuraFinanc!D7</f>
        <v>15</v>
      </c>
      <c r="E8" s="120">
        <f>EstructuraFinanc!E7</f>
        <v>800</v>
      </c>
      <c r="F8" s="121">
        <f t="shared" ref="F8:F13" si="0">E8*D8</f>
        <v>12000</v>
      </c>
      <c r="G8" s="122">
        <v>5</v>
      </c>
      <c r="H8" s="121">
        <f t="shared" ref="H8:H13" si="1">F8/G8</f>
        <v>2400</v>
      </c>
      <c r="I8" s="121">
        <f t="shared" ref="I8:I13" si="2">H8*5</f>
        <v>12000</v>
      </c>
      <c r="J8" s="61">
        <f t="shared" ref="J8:J13" si="3">F8-I8</f>
        <v>0</v>
      </c>
    </row>
    <row r="9" spans="2:10" x14ac:dyDescent="0.25">
      <c r="B9" s="120" t="str">
        <f>EstructuraFinanc!B8</f>
        <v>Manguera negra de 2 pulgadas 100 m</v>
      </c>
      <c r="C9" s="120" t="str">
        <f>EstructuraFinanc!C8</f>
        <v>rollo</v>
      </c>
      <c r="D9" s="120">
        <f>EstructuraFinanc!D8</f>
        <v>15</v>
      </c>
      <c r="E9" s="120">
        <f>EstructuraFinanc!E8</f>
        <v>1765</v>
      </c>
      <c r="F9" s="121">
        <f t="shared" si="0"/>
        <v>26475</v>
      </c>
      <c r="G9" s="122">
        <v>5</v>
      </c>
      <c r="H9" s="121">
        <f t="shared" si="1"/>
        <v>5295</v>
      </c>
      <c r="I9" s="121">
        <f t="shared" si="2"/>
        <v>26475</v>
      </c>
      <c r="J9" s="61">
        <f t="shared" si="3"/>
        <v>0</v>
      </c>
    </row>
    <row r="10" spans="2:10" x14ac:dyDescent="0.25">
      <c r="B10" s="120" t="str">
        <f>EstructuraFinanc!B9</f>
        <v>Manguera negra de 0.5 pulgada 100 m</v>
      </c>
      <c r="C10" s="120" t="str">
        <f>EstructuraFinanc!C9</f>
        <v>rollo</v>
      </c>
      <c r="D10" s="120">
        <f>EstructuraFinanc!D9</f>
        <v>15</v>
      </c>
      <c r="E10" s="120">
        <f>EstructuraFinanc!E9</f>
        <v>230</v>
      </c>
      <c r="F10" s="121">
        <f t="shared" si="0"/>
        <v>3450</v>
      </c>
      <c r="G10" s="122">
        <v>5</v>
      </c>
      <c r="H10" s="121">
        <f t="shared" si="1"/>
        <v>690</v>
      </c>
      <c r="I10" s="121">
        <f t="shared" si="2"/>
        <v>3450</v>
      </c>
      <c r="J10" s="61">
        <f t="shared" si="3"/>
        <v>0</v>
      </c>
    </row>
    <row r="11" spans="2:10" x14ac:dyDescent="0.25">
      <c r="B11" s="120" t="str">
        <f>EstructuraFinanc!B10</f>
        <v>Mochila aspersora manual marca antarix</v>
      </c>
      <c r="C11" s="120" t="str">
        <f>EstructuraFinanc!C10</f>
        <v>equipo</v>
      </c>
      <c r="D11" s="120">
        <f>EstructuraFinanc!D10</f>
        <v>10</v>
      </c>
      <c r="E11" s="120">
        <f>EstructuraFinanc!E10</f>
        <v>650</v>
      </c>
      <c r="F11" s="121">
        <f t="shared" si="0"/>
        <v>6500</v>
      </c>
      <c r="G11" s="122">
        <v>7</v>
      </c>
      <c r="H11" s="121">
        <f t="shared" si="1"/>
        <v>928.57142857142856</v>
      </c>
      <c r="I11" s="121">
        <f t="shared" si="2"/>
        <v>4642.8571428571431</v>
      </c>
      <c r="J11" s="61">
        <f t="shared" si="3"/>
        <v>1857.1428571428569</v>
      </c>
    </row>
    <row r="12" spans="2:10" x14ac:dyDescent="0.25">
      <c r="B12" s="120" t="str">
        <f>EstructuraFinanc!B11</f>
        <v>Envasadora de frijol automatica</v>
      </c>
      <c r="C12" s="120" t="str">
        <f>EstructuraFinanc!C11</f>
        <v>equipo</v>
      </c>
      <c r="D12" s="120">
        <f>EstructuraFinanc!D11</f>
        <v>1</v>
      </c>
      <c r="E12" s="120">
        <f>EstructuraFinanc!E11</f>
        <v>147100</v>
      </c>
      <c r="F12" s="121">
        <f t="shared" si="0"/>
        <v>147100</v>
      </c>
      <c r="G12" s="122">
        <v>10</v>
      </c>
      <c r="H12" s="121">
        <f t="shared" si="1"/>
        <v>14710</v>
      </c>
      <c r="I12" s="121">
        <f t="shared" si="2"/>
        <v>73550</v>
      </c>
      <c r="J12" s="61">
        <f t="shared" si="3"/>
        <v>73550</v>
      </c>
    </row>
    <row r="13" spans="2:10" x14ac:dyDescent="0.25">
      <c r="B13" s="120" t="str">
        <f>EstructuraFinanc!B12</f>
        <v>Centro de acopio</v>
      </c>
      <c r="C13" s="120" t="str">
        <f>EstructuraFinanc!C12</f>
        <v>presupuesto</v>
      </c>
      <c r="D13" s="120">
        <f>EstructuraFinanc!D12</f>
        <v>1</v>
      </c>
      <c r="E13" s="120">
        <f>EstructuraFinanc!E12</f>
        <v>1150000</v>
      </c>
      <c r="F13" s="121">
        <f t="shared" si="0"/>
        <v>1150000</v>
      </c>
      <c r="G13" s="122">
        <v>15</v>
      </c>
      <c r="H13" s="121">
        <f t="shared" si="1"/>
        <v>76666.666666666672</v>
      </c>
      <c r="I13" s="121">
        <f t="shared" si="2"/>
        <v>383333.33333333337</v>
      </c>
      <c r="J13" s="61">
        <f t="shared" si="3"/>
        <v>766666.66666666663</v>
      </c>
    </row>
    <row r="14" spans="2:10" ht="15.75" thickBot="1" x14ac:dyDescent="0.3">
      <c r="B14" s="294"/>
      <c r="C14" s="162"/>
      <c r="D14" s="162"/>
      <c r="E14" s="163"/>
      <c r="F14" s="164">
        <f>SUM(F7:F13)</f>
        <v>1353325</v>
      </c>
      <c r="G14" s="165"/>
      <c r="H14" s="164">
        <f>SUM(H7:H13)</f>
        <v>101470.23809523811</v>
      </c>
      <c r="I14" s="164">
        <f>SUM(I7:I13)</f>
        <v>507351.19047619053</v>
      </c>
      <c r="J14" s="292">
        <f>SUM(J7:J13)</f>
        <v>845973.80952380947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8"/>
  <sheetViews>
    <sheetView showGridLines="0" topLeftCell="A5" workbookViewId="0">
      <selection activeCell="J16" sqref="J16"/>
    </sheetView>
  </sheetViews>
  <sheetFormatPr baseColWidth="10" defaultRowHeight="15" x14ac:dyDescent="0.25"/>
  <cols>
    <col min="2" max="2" width="40.28515625" bestFit="1" customWidth="1"/>
    <col min="3" max="8" width="14.7109375" bestFit="1" customWidth="1"/>
    <col min="258" max="258" width="40.28515625" bestFit="1" customWidth="1"/>
    <col min="259" max="264" width="14.7109375" bestFit="1" customWidth="1"/>
    <col min="514" max="514" width="40.28515625" bestFit="1" customWidth="1"/>
    <col min="515" max="520" width="14.7109375" bestFit="1" customWidth="1"/>
    <col min="770" max="770" width="40.28515625" bestFit="1" customWidth="1"/>
    <col min="771" max="776" width="14.7109375" bestFit="1" customWidth="1"/>
    <col min="1026" max="1026" width="40.28515625" bestFit="1" customWidth="1"/>
    <col min="1027" max="1032" width="14.7109375" bestFit="1" customWidth="1"/>
    <col min="1282" max="1282" width="40.28515625" bestFit="1" customWidth="1"/>
    <col min="1283" max="1288" width="14.7109375" bestFit="1" customWidth="1"/>
    <col min="1538" max="1538" width="40.28515625" bestFit="1" customWidth="1"/>
    <col min="1539" max="1544" width="14.7109375" bestFit="1" customWidth="1"/>
    <col min="1794" max="1794" width="40.28515625" bestFit="1" customWidth="1"/>
    <col min="1795" max="1800" width="14.7109375" bestFit="1" customWidth="1"/>
    <col min="2050" max="2050" width="40.28515625" bestFit="1" customWidth="1"/>
    <col min="2051" max="2056" width="14.7109375" bestFit="1" customWidth="1"/>
    <col min="2306" max="2306" width="40.28515625" bestFit="1" customWidth="1"/>
    <col min="2307" max="2312" width="14.7109375" bestFit="1" customWidth="1"/>
    <col min="2562" max="2562" width="40.28515625" bestFit="1" customWidth="1"/>
    <col min="2563" max="2568" width="14.7109375" bestFit="1" customWidth="1"/>
    <col min="2818" max="2818" width="40.28515625" bestFit="1" customWidth="1"/>
    <col min="2819" max="2824" width="14.7109375" bestFit="1" customWidth="1"/>
    <col min="3074" max="3074" width="40.28515625" bestFit="1" customWidth="1"/>
    <col min="3075" max="3080" width="14.7109375" bestFit="1" customWidth="1"/>
    <col min="3330" max="3330" width="40.28515625" bestFit="1" customWidth="1"/>
    <col min="3331" max="3336" width="14.7109375" bestFit="1" customWidth="1"/>
    <col min="3586" max="3586" width="40.28515625" bestFit="1" customWidth="1"/>
    <col min="3587" max="3592" width="14.7109375" bestFit="1" customWidth="1"/>
    <col min="3842" max="3842" width="40.28515625" bestFit="1" customWidth="1"/>
    <col min="3843" max="3848" width="14.7109375" bestFit="1" customWidth="1"/>
    <col min="4098" max="4098" width="40.28515625" bestFit="1" customWidth="1"/>
    <col min="4099" max="4104" width="14.7109375" bestFit="1" customWidth="1"/>
    <col min="4354" max="4354" width="40.28515625" bestFit="1" customWidth="1"/>
    <col min="4355" max="4360" width="14.7109375" bestFit="1" customWidth="1"/>
    <col min="4610" max="4610" width="40.28515625" bestFit="1" customWidth="1"/>
    <col min="4611" max="4616" width="14.7109375" bestFit="1" customWidth="1"/>
    <col min="4866" max="4866" width="40.28515625" bestFit="1" customWidth="1"/>
    <col min="4867" max="4872" width="14.7109375" bestFit="1" customWidth="1"/>
    <col min="5122" max="5122" width="40.28515625" bestFit="1" customWidth="1"/>
    <col min="5123" max="5128" width="14.7109375" bestFit="1" customWidth="1"/>
    <col min="5378" max="5378" width="40.28515625" bestFit="1" customWidth="1"/>
    <col min="5379" max="5384" width="14.7109375" bestFit="1" customWidth="1"/>
    <col min="5634" max="5634" width="40.28515625" bestFit="1" customWidth="1"/>
    <col min="5635" max="5640" width="14.7109375" bestFit="1" customWidth="1"/>
    <col min="5890" max="5890" width="40.28515625" bestFit="1" customWidth="1"/>
    <col min="5891" max="5896" width="14.7109375" bestFit="1" customWidth="1"/>
    <col min="6146" max="6146" width="40.28515625" bestFit="1" customWidth="1"/>
    <col min="6147" max="6152" width="14.7109375" bestFit="1" customWidth="1"/>
    <col min="6402" max="6402" width="40.28515625" bestFit="1" customWidth="1"/>
    <col min="6403" max="6408" width="14.7109375" bestFit="1" customWidth="1"/>
    <col min="6658" max="6658" width="40.28515625" bestFit="1" customWidth="1"/>
    <col min="6659" max="6664" width="14.7109375" bestFit="1" customWidth="1"/>
    <col min="6914" max="6914" width="40.28515625" bestFit="1" customWidth="1"/>
    <col min="6915" max="6920" width="14.7109375" bestFit="1" customWidth="1"/>
    <col min="7170" max="7170" width="40.28515625" bestFit="1" customWidth="1"/>
    <col min="7171" max="7176" width="14.7109375" bestFit="1" customWidth="1"/>
    <col min="7426" max="7426" width="40.28515625" bestFit="1" customWidth="1"/>
    <col min="7427" max="7432" width="14.7109375" bestFit="1" customWidth="1"/>
    <col min="7682" max="7682" width="40.28515625" bestFit="1" customWidth="1"/>
    <col min="7683" max="7688" width="14.7109375" bestFit="1" customWidth="1"/>
    <col min="7938" max="7938" width="40.28515625" bestFit="1" customWidth="1"/>
    <col min="7939" max="7944" width="14.7109375" bestFit="1" customWidth="1"/>
    <col min="8194" max="8194" width="40.28515625" bestFit="1" customWidth="1"/>
    <col min="8195" max="8200" width="14.7109375" bestFit="1" customWidth="1"/>
    <col min="8450" max="8450" width="40.28515625" bestFit="1" customWidth="1"/>
    <col min="8451" max="8456" width="14.7109375" bestFit="1" customWidth="1"/>
    <col min="8706" max="8706" width="40.28515625" bestFit="1" customWidth="1"/>
    <col min="8707" max="8712" width="14.7109375" bestFit="1" customWidth="1"/>
    <col min="8962" max="8962" width="40.28515625" bestFit="1" customWidth="1"/>
    <col min="8963" max="8968" width="14.7109375" bestFit="1" customWidth="1"/>
    <col min="9218" max="9218" width="40.28515625" bestFit="1" customWidth="1"/>
    <col min="9219" max="9224" width="14.7109375" bestFit="1" customWidth="1"/>
    <col min="9474" max="9474" width="40.28515625" bestFit="1" customWidth="1"/>
    <col min="9475" max="9480" width="14.7109375" bestFit="1" customWidth="1"/>
    <col min="9730" max="9730" width="40.28515625" bestFit="1" customWidth="1"/>
    <col min="9731" max="9736" width="14.7109375" bestFit="1" customWidth="1"/>
    <col min="9986" max="9986" width="40.28515625" bestFit="1" customWidth="1"/>
    <col min="9987" max="9992" width="14.7109375" bestFit="1" customWidth="1"/>
    <col min="10242" max="10242" width="40.28515625" bestFit="1" customWidth="1"/>
    <col min="10243" max="10248" width="14.7109375" bestFit="1" customWidth="1"/>
    <col min="10498" max="10498" width="40.28515625" bestFit="1" customWidth="1"/>
    <col min="10499" max="10504" width="14.7109375" bestFit="1" customWidth="1"/>
    <col min="10754" max="10754" width="40.28515625" bestFit="1" customWidth="1"/>
    <col min="10755" max="10760" width="14.7109375" bestFit="1" customWidth="1"/>
    <col min="11010" max="11010" width="40.28515625" bestFit="1" customWidth="1"/>
    <col min="11011" max="11016" width="14.7109375" bestFit="1" customWidth="1"/>
    <col min="11266" max="11266" width="40.28515625" bestFit="1" customWidth="1"/>
    <col min="11267" max="11272" width="14.7109375" bestFit="1" customWidth="1"/>
    <col min="11522" max="11522" width="40.28515625" bestFit="1" customWidth="1"/>
    <col min="11523" max="11528" width="14.7109375" bestFit="1" customWidth="1"/>
    <col min="11778" max="11778" width="40.28515625" bestFit="1" customWidth="1"/>
    <col min="11779" max="11784" width="14.7109375" bestFit="1" customWidth="1"/>
    <col min="12034" max="12034" width="40.28515625" bestFit="1" customWidth="1"/>
    <col min="12035" max="12040" width="14.7109375" bestFit="1" customWidth="1"/>
    <col min="12290" max="12290" width="40.28515625" bestFit="1" customWidth="1"/>
    <col min="12291" max="12296" width="14.7109375" bestFit="1" customWidth="1"/>
    <col min="12546" max="12546" width="40.28515625" bestFit="1" customWidth="1"/>
    <col min="12547" max="12552" width="14.7109375" bestFit="1" customWidth="1"/>
    <col min="12802" max="12802" width="40.28515625" bestFit="1" customWidth="1"/>
    <col min="12803" max="12808" width="14.7109375" bestFit="1" customWidth="1"/>
    <col min="13058" max="13058" width="40.28515625" bestFit="1" customWidth="1"/>
    <col min="13059" max="13064" width="14.7109375" bestFit="1" customWidth="1"/>
    <col min="13314" max="13314" width="40.28515625" bestFit="1" customWidth="1"/>
    <col min="13315" max="13320" width="14.7109375" bestFit="1" customWidth="1"/>
    <col min="13570" max="13570" width="40.28515625" bestFit="1" customWidth="1"/>
    <col min="13571" max="13576" width="14.7109375" bestFit="1" customWidth="1"/>
    <col min="13826" max="13826" width="40.28515625" bestFit="1" customWidth="1"/>
    <col min="13827" max="13832" width="14.7109375" bestFit="1" customWidth="1"/>
    <col min="14082" max="14082" width="40.28515625" bestFit="1" customWidth="1"/>
    <col min="14083" max="14088" width="14.7109375" bestFit="1" customWidth="1"/>
    <col min="14338" max="14338" width="40.28515625" bestFit="1" customWidth="1"/>
    <col min="14339" max="14344" width="14.7109375" bestFit="1" customWidth="1"/>
    <col min="14594" max="14594" width="40.28515625" bestFit="1" customWidth="1"/>
    <col min="14595" max="14600" width="14.7109375" bestFit="1" customWidth="1"/>
    <col min="14850" max="14850" width="40.28515625" bestFit="1" customWidth="1"/>
    <col min="14851" max="14856" width="14.7109375" bestFit="1" customWidth="1"/>
    <col min="15106" max="15106" width="40.28515625" bestFit="1" customWidth="1"/>
    <col min="15107" max="15112" width="14.7109375" bestFit="1" customWidth="1"/>
    <col min="15362" max="15362" width="40.28515625" bestFit="1" customWidth="1"/>
    <col min="15363" max="15368" width="14.7109375" bestFit="1" customWidth="1"/>
    <col min="15618" max="15618" width="40.28515625" bestFit="1" customWidth="1"/>
    <col min="15619" max="15624" width="14.7109375" bestFit="1" customWidth="1"/>
    <col min="15874" max="15874" width="40.28515625" bestFit="1" customWidth="1"/>
    <col min="15875" max="15880" width="14.7109375" bestFit="1" customWidth="1"/>
    <col min="16130" max="16130" width="40.28515625" bestFit="1" customWidth="1"/>
    <col min="16131" max="16136" width="14.7109375" bestFit="1" customWidth="1"/>
  </cols>
  <sheetData>
    <row r="2" spans="2:8" ht="16.5" x14ac:dyDescent="0.25">
      <c r="B2" s="296" t="s">
        <v>188</v>
      </c>
    </row>
    <row r="4" spans="2:8" x14ac:dyDescent="0.25">
      <c r="B4" s="320" t="s">
        <v>97</v>
      </c>
      <c r="C4" s="320" t="s">
        <v>189</v>
      </c>
      <c r="D4" s="320" t="s">
        <v>18</v>
      </c>
      <c r="E4" s="320" t="s">
        <v>19</v>
      </c>
      <c r="F4" s="320" t="s">
        <v>20</v>
      </c>
      <c r="G4" s="320" t="s">
        <v>21</v>
      </c>
      <c r="H4" s="320" t="s">
        <v>22</v>
      </c>
    </row>
    <row r="5" spans="2:8" x14ac:dyDescent="0.25">
      <c r="B5" s="320" t="s">
        <v>190</v>
      </c>
      <c r="C5" s="321"/>
      <c r="D5" s="321"/>
      <c r="E5" s="321"/>
      <c r="F5" s="321"/>
      <c r="G5" s="321"/>
      <c r="H5" s="321"/>
    </row>
    <row r="6" spans="2:8" x14ac:dyDescent="0.25">
      <c r="B6" s="3" t="s">
        <v>191</v>
      </c>
      <c r="C6" s="297">
        <f>EstructuraFinanc!H28</f>
        <v>1473325</v>
      </c>
      <c r="D6" s="297"/>
      <c r="E6" s="297"/>
      <c r="F6" s="297"/>
      <c r="G6" s="297"/>
      <c r="H6" s="297"/>
    </row>
    <row r="7" spans="2:8" x14ac:dyDescent="0.25">
      <c r="B7" s="3" t="s">
        <v>192</v>
      </c>
      <c r="C7" s="297">
        <f>EstructuraFinanc!G28</f>
        <v>650340</v>
      </c>
      <c r="D7" s="297"/>
      <c r="E7" s="297"/>
      <c r="F7" s="297"/>
      <c r="G7" s="297"/>
      <c r="H7" s="297"/>
    </row>
    <row r="8" spans="2:8" x14ac:dyDescent="0.25">
      <c r="B8" s="3" t="s">
        <v>193</v>
      </c>
      <c r="C8" s="297"/>
      <c r="D8" s="297"/>
      <c r="E8" s="297"/>
      <c r="F8" s="297"/>
      <c r="G8" s="297"/>
      <c r="H8" s="297"/>
    </row>
    <row r="9" spans="2:8" x14ac:dyDescent="0.25">
      <c r="B9" s="3"/>
      <c r="C9" s="297"/>
      <c r="D9" s="297"/>
      <c r="E9" s="297"/>
      <c r="F9" s="297"/>
      <c r="G9" s="297"/>
      <c r="H9" s="297"/>
    </row>
    <row r="10" spans="2:8" x14ac:dyDescent="0.25">
      <c r="B10" s="298" t="s">
        <v>175</v>
      </c>
      <c r="C10" s="299"/>
      <c r="D10" s="299">
        <f>Ingresos!C14</f>
        <v>2214000</v>
      </c>
      <c r="E10" s="299">
        <f>Ingresos!D14</f>
        <v>2280862.8000000003</v>
      </c>
      <c r="F10" s="299">
        <f>Ingresos!E14</f>
        <v>2349744.8565600007</v>
      </c>
      <c r="G10" s="299">
        <f>Ingresos!F14</f>
        <v>2420707.1512281122</v>
      </c>
      <c r="H10" s="299">
        <f>Ingresos!G14</f>
        <v>2493812.5071952017</v>
      </c>
    </row>
    <row r="11" spans="2:8" x14ac:dyDescent="0.25">
      <c r="B11" s="3" t="s">
        <v>194</v>
      </c>
      <c r="C11" s="297"/>
      <c r="D11" s="297"/>
      <c r="E11" s="297"/>
      <c r="F11" s="297"/>
      <c r="G11" s="297"/>
      <c r="H11" s="297">
        <f>Deprec!J14</f>
        <v>845973.80952380947</v>
      </c>
    </row>
    <row r="12" spans="2:8" x14ac:dyDescent="0.25">
      <c r="B12" s="3"/>
      <c r="C12" s="297"/>
      <c r="D12" s="297"/>
      <c r="E12" s="297"/>
      <c r="F12" s="297"/>
      <c r="G12" s="297"/>
      <c r="H12" s="297"/>
    </row>
    <row r="13" spans="2:8" x14ac:dyDescent="0.25">
      <c r="B13" s="300" t="s">
        <v>195</v>
      </c>
      <c r="C13" s="301">
        <f t="shared" ref="C13:H13" si="0">SUM(C11+C10+C8+C7+C6)</f>
        <v>2123665</v>
      </c>
      <c r="D13" s="301">
        <f t="shared" si="0"/>
        <v>2214000</v>
      </c>
      <c r="E13" s="301">
        <f t="shared" si="0"/>
        <v>2280862.8000000003</v>
      </c>
      <c r="F13" s="301">
        <f t="shared" si="0"/>
        <v>2349744.8565600007</v>
      </c>
      <c r="G13" s="301">
        <f t="shared" si="0"/>
        <v>2420707.1512281122</v>
      </c>
      <c r="H13" s="301">
        <f t="shared" si="0"/>
        <v>3339786.3167190114</v>
      </c>
    </row>
    <row r="14" spans="2:8" x14ac:dyDescent="0.25">
      <c r="B14" s="3"/>
      <c r="C14" s="297"/>
      <c r="D14" s="297"/>
      <c r="E14" s="297"/>
      <c r="F14" s="297"/>
      <c r="G14" s="297"/>
      <c r="H14" s="297"/>
    </row>
    <row r="15" spans="2:8" x14ac:dyDescent="0.25">
      <c r="B15" s="320" t="s">
        <v>196</v>
      </c>
      <c r="C15" s="322"/>
      <c r="D15" s="322"/>
      <c r="E15" s="322"/>
      <c r="F15" s="322"/>
      <c r="G15" s="322"/>
      <c r="H15" s="322"/>
    </row>
    <row r="16" spans="2:8" x14ac:dyDescent="0.25">
      <c r="B16" s="300" t="s">
        <v>197</v>
      </c>
      <c r="C16" s="297"/>
      <c r="D16" s="297"/>
      <c r="E16" s="297"/>
      <c r="F16" s="297"/>
      <c r="G16" s="297"/>
      <c r="H16" s="297"/>
    </row>
    <row r="17" spans="2:8" x14ac:dyDescent="0.25">
      <c r="B17" s="3" t="s">
        <v>50</v>
      </c>
      <c r="C17" s="297">
        <f>EstructuraFinanc!F14</f>
        <v>1353325</v>
      </c>
      <c r="D17" s="297"/>
      <c r="E17" s="297"/>
      <c r="F17" s="297"/>
      <c r="G17" s="297"/>
      <c r="H17" s="297"/>
    </row>
    <row r="18" spans="2:8" x14ac:dyDescent="0.25">
      <c r="B18" s="3" t="s">
        <v>51</v>
      </c>
      <c r="C18" s="297">
        <f>EstructuraFinanc!F21</f>
        <v>95000</v>
      </c>
      <c r="D18" s="297"/>
      <c r="E18" s="297"/>
      <c r="F18" s="297"/>
      <c r="G18" s="297"/>
      <c r="H18" s="297"/>
    </row>
    <row r="19" spans="2:8" x14ac:dyDescent="0.25">
      <c r="B19" s="3" t="s">
        <v>103</v>
      </c>
      <c r="C19" s="297">
        <f>EstructuraFinanc!F26</f>
        <v>675340</v>
      </c>
      <c r="D19" s="297"/>
      <c r="E19" s="297"/>
      <c r="F19" s="297"/>
      <c r="G19" s="297"/>
      <c r="H19" s="297"/>
    </row>
    <row r="20" spans="2:8" x14ac:dyDescent="0.25">
      <c r="B20" s="3"/>
      <c r="C20" s="297"/>
      <c r="D20" s="297"/>
      <c r="E20" s="297"/>
      <c r="F20" s="297"/>
      <c r="G20" s="297"/>
      <c r="H20" s="297"/>
    </row>
    <row r="21" spans="2:8" x14ac:dyDescent="0.25">
      <c r="B21" s="300" t="s">
        <v>198</v>
      </c>
      <c r="C21" s="297"/>
      <c r="D21" s="301">
        <f>Edo.Res!C8+Edo.Res!C12</f>
        <v>1619125</v>
      </c>
      <c r="E21" s="301">
        <f>Edo.Res!D8+Edo.Res!D12</f>
        <v>1635316.25</v>
      </c>
      <c r="F21" s="301">
        <f>Edo.Res!E8+Edo.Res!E12</f>
        <v>1651669.4125000001</v>
      </c>
      <c r="G21" s="301">
        <f>Edo.Res!F8+Edo.Res!F12</f>
        <v>1668186.106625</v>
      </c>
      <c r="H21" s="301">
        <f>Edo.Res!G8+Edo.Res!G12</f>
        <v>1684867.9676912501</v>
      </c>
    </row>
    <row r="22" spans="2:8" x14ac:dyDescent="0.25">
      <c r="B22" s="3"/>
      <c r="C22" s="297"/>
      <c r="D22" s="297"/>
      <c r="E22" s="297"/>
      <c r="F22" s="297"/>
      <c r="G22" s="297"/>
      <c r="H22" s="297"/>
    </row>
    <row r="23" spans="2:8" x14ac:dyDescent="0.25">
      <c r="B23" s="3" t="s">
        <v>199</v>
      </c>
      <c r="C23" s="297"/>
      <c r="D23" s="297"/>
      <c r="E23" s="297"/>
      <c r="F23" s="297"/>
      <c r="G23" s="297"/>
      <c r="H23" s="297"/>
    </row>
    <row r="24" spans="2:8" x14ac:dyDescent="0.25">
      <c r="B24" s="3" t="s">
        <v>200</v>
      </c>
      <c r="C24" s="297"/>
      <c r="D24" s="297">
        <f>Edo.Res!C24</f>
        <v>59487.5</v>
      </c>
      <c r="E24" s="297">
        <f>Edo.Res!D24</f>
        <v>64554.655000000021</v>
      </c>
      <c r="F24" s="297">
        <f>Edo.Res!E24</f>
        <v>69807.544406000059</v>
      </c>
      <c r="G24" s="297">
        <f>Edo.Res!F24</f>
        <v>75252.10446031121</v>
      </c>
      <c r="H24" s="297">
        <f>Edo.Res!G24</f>
        <v>80894.453950395167</v>
      </c>
    </row>
    <row r="25" spans="2:8" x14ac:dyDescent="0.25">
      <c r="B25" s="3"/>
      <c r="C25" s="297"/>
      <c r="D25" s="297"/>
      <c r="E25" s="297"/>
      <c r="F25" s="297"/>
      <c r="G25" s="297"/>
      <c r="H25" s="297"/>
    </row>
    <row r="26" spans="2:8" x14ac:dyDescent="0.25">
      <c r="B26" s="300" t="s">
        <v>201</v>
      </c>
      <c r="C26" s="301">
        <f t="shared" ref="C26:H26" si="1">SUM(C17:C24)</f>
        <v>2123665</v>
      </c>
      <c r="D26" s="301">
        <f t="shared" si="1"/>
        <v>1678612.5</v>
      </c>
      <c r="E26" s="301">
        <f t="shared" si="1"/>
        <v>1699870.905</v>
      </c>
      <c r="F26" s="301">
        <f t="shared" si="1"/>
        <v>1721476.9569060002</v>
      </c>
      <c r="G26" s="301">
        <f t="shared" si="1"/>
        <v>1743438.2110853111</v>
      </c>
      <c r="H26" s="301">
        <f t="shared" si="1"/>
        <v>1765762.4216416453</v>
      </c>
    </row>
    <row r="27" spans="2:8" x14ac:dyDescent="0.25">
      <c r="B27" s="3"/>
      <c r="C27" s="297"/>
      <c r="D27" s="297"/>
      <c r="E27" s="297"/>
      <c r="F27" s="297"/>
      <c r="G27" s="297"/>
      <c r="H27" s="297"/>
    </row>
    <row r="28" spans="2:8" x14ac:dyDescent="0.25">
      <c r="B28" s="320" t="s">
        <v>202</v>
      </c>
      <c r="C28" s="323">
        <f t="shared" ref="C28:H28" si="2">C13-C26</f>
        <v>0</v>
      </c>
      <c r="D28" s="323">
        <f t="shared" si="2"/>
        <v>535387.5</v>
      </c>
      <c r="E28" s="323">
        <f t="shared" si="2"/>
        <v>580991.89500000025</v>
      </c>
      <c r="F28" s="323">
        <f t="shared" si="2"/>
        <v>628267.89965400053</v>
      </c>
      <c r="G28" s="323">
        <f t="shared" si="2"/>
        <v>677268.94014280103</v>
      </c>
      <c r="H28" s="323">
        <f t="shared" si="2"/>
        <v>1574023.8950773661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J241"/>
  <sheetViews>
    <sheetView showGridLines="0" workbookViewId="0">
      <selection activeCell="F15" sqref="F15"/>
    </sheetView>
  </sheetViews>
  <sheetFormatPr baseColWidth="10" defaultRowHeight="15" x14ac:dyDescent="0.25"/>
  <cols>
    <col min="2" max="2" width="41.140625" customWidth="1"/>
    <col min="5" max="5" width="16.140625" customWidth="1"/>
    <col min="6" max="6" width="29.85546875" customWidth="1"/>
    <col min="7" max="7" width="1.42578125" customWidth="1"/>
    <col min="8" max="8" width="2.5703125" customWidth="1"/>
    <col min="9" max="9" width="2.85546875" customWidth="1"/>
    <col min="258" max="258" width="41.140625" customWidth="1"/>
    <col min="261" max="261" width="16.140625" customWidth="1"/>
    <col min="262" max="262" width="29.85546875" customWidth="1"/>
    <col min="263" max="263" width="1.42578125" customWidth="1"/>
    <col min="264" max="264" width="2.5703125" customWidth="1"/>
    <col min="265" max="265" width="2.85546875" customWidth="1"/>
    <col min="514" max="514" width="41.140625" customWidth="1"/>
    <col min="517" max="517" width="16.140625" customWidth="1"/>
    <col min="518" max="518" width="29.85546875" customWidth="1"/>
    <col min="519" max="519" width="1.42578125" customWidth="1"/>
    <col min="520" max="520" width="2.5703125" customWidth="1"/>
    <col min="521" max="521" width="2.85546875" customWidth="1"/>
    <col min="770" max="770" width="41.140625" customWidth="1"/>
    <col min="773" max="773" width="16.140625" customWidth="1"/>
    <col min="774" max="774" width="29.85546875" customWidth="1"/>
    <col min="775" max="775" width="1.42578125" customWidth="1"/>
    <col min="776" max="776" width="2.5703125" customWidth="1"/>
    <col min="777" max="777" width="2.85546875" customWidth="1"/>
    <col min="1026" max="1026" width="41.140625" customWidth="1"/>
    <col min="1029" max="1029" width="16.140625" customWidth="1"/>
    <col min="1030" max="1030" width="29.85546875" customWidth="1"/>
    <col min="1031" max="1031" width="1.42578125" customWidth="1"/>
    <col min="1032" max="1032" width="2.5703125" customWidth="1"/>
    <col min="1033" max="1033" width="2.85546875" customWidth="1"/>
    <col min="1282" max="1282" width="41.140625" customWidth="1"/>
    <col min="1285" max="1285" width="16.140625" customWidth="1"/>
    <col min="1286" max="1286" width="29.85546875" customWidth="1"/>
    <col min="1287" max="1287" width="1.42578125" customWidth="1"/>
    <col min="1288" max="1288" width="2.5703125" customWidth="1"/>
    <col min="1289" max="1289" width="2.85546875" customWidth="1"/>
    <col min="1538" max="1538" width="41.140625" customWidth="1"/>
    <col min="1541" max="1541" width="16.140625" customWidth="1"/>
    <col min="1542" max="1542" width="29.85546875" customWidth="1"/>
    <col min="1543" max="1543" width="1.42578125" customWidth="1"/>
    <col min="1544" max="1544" width="2.5703125" customWidth="1"/>
    <col min="1545" max="1545" width="2.85546875" customWidth="1"/>
    <col min="1794" max="1794" width="41.140625" customWidth="1"/>
    <col min="1797" max="1797" width="16.140625" customWidth="1"/>
    <col min="1798" max="1798" width="29.85546875" customWidth="1"/>
    <col min="1799" max="1799" width="1.42578125" customWidth="1"/>
    <col min="1800" max="1800" width="2.5703125" customWidth="1"/>
    <col min="1801" max="1801" width="2.85546875" customWidth="1"/>
    <col min="2050" max="2050" width="41.140625" customWidth="1"/>
    <col min="2053" max="2053" width="16.140625" customWidth="1"/>
    <col min="2054" max="2054" width="29.85546875" customWidth="1"/>
    <col min="2055" max="2055" width="1.42578125" customWidth="1"/>
    <col min="2056" max="2056" width="2.5703125" customWidth="1"/>
    <col min="2057" max="2057" width="2.85546875" customWidth="1"/>
    <col min="2306" max="2306" width="41.140625" customWidth="1"/>
    <col min="2309" max="2309" width="16.140625" customWidth="1"/>
    <col min="2310" max="2310" width="29.85546875" customWidth="1"/>
    <col min="2311" max="2311" width="1.42578125" customWidth="1"/>
    <col min="2312" max="2312" width="2.5703125" customWidth="1"/>
    <col min="2313" max="2313" width="2.85546875" customWidth="1"/>
    <col min="2562" max="2562" width="41.140625" customWidth="1"/>
    <col min="2565" max="2565" width="16.140625" customWidth="1"/>
    <col min="2566" max="2566" width="29.85546875" customWidth="1"/>
    <col min="2567" max="2567" width="1.42578125" customWidth="1"/>
    <col min="2568" max="2568" width="2.5703125" customWidth="1"/>
    <col min="2569" max="2569" width="2.85546875" customWidth="1"/>
    <col min="2818" max="2818" width="41.140625" customWidth="1"/>
    <col min="2821" max="2821" width="16.140625" customWidth="1"/>
    <col min="2822" max="2822" width="29.85546875" customWidth="1"/>
    <col min="2823" max="2823" width="1.42578125" customWidth="1"/>
    <col min="2824" max="2824" width="2.5703125" customWidth="1"/>
    <col min="2825" max="2825" width="2.85546875" customWidth="1"/>
    <col min="3074" max="3074" width="41.140625" customWidth="1"/>
    <col min="3077" max="3077" width="16.140625" customWidth="1"/>
    <col min="3078" max="3078" width="29.85546875" customWidth="1"/>
    <col min="3079" max="3079" width="1.42578125" customWidth="1"/>
    <col min="3080" max="3080" width="2.5703125" customWidth="1"/>
    <col min="3081" max="3081" width="2.85546875" customWidth="1"/>
    <col min="3330" max="3330" width="41.140625" customWidth="1"/>
    <col min="3333" max="3333" width="16.140625" customWidth="1"/>
    <col min="3334" max="3334" width="29.85546875" customWidth="1"/>
    <col min="3335" max="3335" width="1.42578125" customWidth="1"/>
    <col min="3336" max="3336" width="2.5703125" customWidth="1"/>
    <col min="3337" max="3337" width="2.85546875" customWidth="1"/>
    <col min="3586" max="3586" width="41.140625" customWidth="1"/>
    <col min="3589" max="3589" width="16.140625" customWidth="1"/>
    <col min="3590" max="3590" width="29.85546875" customWidth="1"/>
    <col min="3591" max="3591" width="1.42578125" customWidth="1"/>
    <col min="3592" max="3592" width="2.5703125" customWidth="1"/>
    <col min="3593" max="3593" width="2.85546875" customWidth="1"/>
    <col min="3842" max="3842" width="41.140625" customWidth="1"/>
    <col min="3845" max="3845" width="16.140625" customWidth="1"/>
    <col min="3846" max="3846" width="29.85546875" customWidth="1"/>
    <col min="3847" max="3847" width="1.42578125" customWidth="1"/>
    <col min="3848" max="3848" width="2.5703125" customWidth="1"/>
    <col min="3849" max="3849" width="2.85546875" customWidth="1"/>
    <col min="4098" max="4098" width="41.140625" customWidth="1"/>
    <col min="4101" max="4101" width="16.140625" customWidth="1"/>
    <col min="4102" max="4102" width="29.85546875" customWidth="1"/>
    <col min="4103" max="4103" width="1.42578125" customWidth="1"/>
    <col min="4104" max="4104" width="2.5703125" customWidth="1"/>
    <col min="4105" max="4105" width="2.85546875" customWidth="1"/>
    <col min="4354" max="4354" width="41.140625" customWidth="1"/>
    <col min="4357" max="4357" width="16.140625" customWidth="1"/>
    <col min="4358" max="4358" width="29.85546875" customWidth="1"/>
    <col min="4359" max="4359" width="1.42578125" customWidth="1"/>
    <col min="4360" max="4360" width="2.5703125" customWidth="1"/>
    <col min="4361" max="4361" width="2.85546875" customWidth="1"/>
    <col min="4610" max="4610" width="41.140625" customWidth="1"/>
    <col min="4613" max="4613" width="16.140625" customWidth="1"/>
    <col min="4614" max="4614" width="29.85546875" customWidth="1"/>
    <col min="4615" max="4615" width="1.42578125" customWidth="1"/>
    <col min="4616" max="4616" width="2.5703125" customWidth="1"/>
    <col min="4617" max="4617" width="2.85546875" customWidth="1"/>
    <col min="4866" max="4866" width="41.140625" customWidth="1"/>
    <col min="4869" max="4869" width="16.140625" customWidth="1"/>
    <col min="4870" max="4870" width="29.85546875" customWidth="1"/>
    <col min="4871" max="4871" width="1.42578125" customWidth="1"/>
    <col min="4872" max="4872" width="2.5703125" customWidth="1"/>
    <col min="4873" max="4873" width="2.85546875" customWidth="1"/>
    <col min="5122" max="5122" width="41.140625" customWidth="1"/>
    <col min="5125" max="5125" width="16.140625" customWidth="1"/>
    <col min="5126" max="5126" width="29.85546875" customWidth="1"/>
    <col min="5127" max="5127" width="1.42578125" customWidth="1"/>
    <col min="5128" max="5128" width="2.5703125" customWidth="1"/>
    <col min="5129" max="5129" width="2.85546875" customWidth="1"/>
    <col min="5378" max="5378" width="41.140625" customWidth="1"/>
    <col min="5381" max="5381" width="16.140625" customWidth="1"/>
    <col min="5382" max="5382" width="29.85546875" customWidth="1"/>
    <col min="5383" max="5383" width="1.42578125" customWidth="1"/>
    <col min="5384" max="5384" width="2.5703125" customWidth="1"/>
    <col min="5385" max="5385" width="2.85546875" customWidth="1"/>
    <col min="5634" max="5634" width="41.140625" customWidth="1"/>
    <col min="5637" max="5637" width="16.140625" customWidth="1"/>
    <col min="5638" max="5638" width="29.85546875" customWidth="1"/>
    <col min="5639" max="5639" width="1.42578125" customWidth="1"/>
    <col min="5640" max="5640" width="2.5703125" customWidth="1"/>
    <col min="5641" max="5641" width="2.85546875" customWidth="1"/>
    <col min="5890" max="5890" width="41.140625" customWidth="1"/>
    <col min="5893" max="5893" width="16.140625" customWidth="1"/>
    <col min="5894" max="5894" width="29.85546875" customWidth="1"/>
    <col min="5895" max="5895" width="1.42578125" customWidth="1"/>
    <col min="5896" max="5896" width="2.5703125" customWidth="1"/>
    <col min="5897" max="5897" width="2.85546875" customWidth="1"/>
    <col min="6146" max="6146" width="41.140625" customWidth="1"/>
    <col min="6149" max="6149" width="16.140625" customWidth="1"/>
    <col min="6150" max="6150" width="29.85546875" customWidth="1"/>
    <col min="6151" max="6151" width="1.42578125" customWidth="1"/>
    <col min="6152" max="6152" width="2.5703125" customWidth="1"/>
    <col min="6153" max="6153" width="2.85546875" customWidth="1"/>
    <col min="6402" max="6402" width="41.140625" customWidth="1"/>
    <col min="6405" max="6405" width="16.140625" customWidth="1"/>
    <col min="6406" max="6406" width="29.85546875" customWidth="1"/>
    <col min="6407" max="6407" width="1.42578125" customWidth="1"/>
    <col min="6408" max="6408" width="2.5703125" customWidth="1"/>
    <col min="6409" max="6409" width="2.85546875" customWidth="1"/>
    <col min="6658" max="6658" width="41.140625" customWidth="1"/>
    <col min="6661" max="6661" width="16.140625" customWidth="1"/>
    <col min="6662" max="6662" width="29.85546875" customWidth="1"/>
    <col min="6663" max="6663" width="1.42578125" customWidth="1"/>
    <col min="6664" max="6664" width="2.5703125" customWidth="1"/>
    <col min="6665" max="6665" width="2.85546875" customWidth="1"/>
    <col min="6914" max="6914" width="41.140625" customWidth="1"/>
    <col min="6917" max="6917" width="16.140625" customWidth="1"/>
    <col min="6918" max="6918" width="29.85546875" customWidth="1"/>
    <col min="6919" max="6919" width="1.42578125" customWidth="1"/>
    <col min="6920" max="6920" width="2.5703125" customWidth="1"/>
    <col min="6921" max="6921" width="2.85546875" customWidth="1"/>
    <col min="7170" max="7170" width="41.140625" customWidth="1"/>
    <col min="7173" max="7173" width="16.140625" customWidth="1"/>
    <col min="7174" max="7174" width="29.85546875" customWidth="1"/>
    <col min="7175" max="7175" width="1.42578125" customWidth="1"/>
    <col min="7176" max="7176" width="2.5703125" customWidth="1"/>
    <col min="7177" max="7177" width="2.85546875" customWidth="1"/>
    <col min="7426" max="7426" width="41.140625" customWidth="1"/>
    <col min="7429" max="7429" width="16.140625" customWidth="1"/>
    <col min="7430" max="7430" width="29.85546875" customWidth="1"/>
    <col min="7431" max="7431" width="1.42578125" customWidth="1"/>
    <col min="7432" max="7432" width="2.5703125" customWidth="1"/>
    <col min="7433" max="7433" width="2.85546875" customWidth="1"/>
    <col min="7682" max="7682" width="41.140625" customWidth="1"/>
    <col min="7685" max="7685" width="16.140625" customWidth="1"/>
    <col min="7686" max="7686" width="29.85546875" customWidth="1"/>
    <col min="7687" max="7687" width="1.42578125" customWidth="1"/>
    <col min="7688" max="7688" width="2.5703125" customWidth="1"/>
    <col min="7689" max="7689" width="2.85546875" customWidth="1"/>
    <col min="7938" max="7938" width="41.140625" customWidth="1"/>
    <col min="7941" max="7941" width="16.140625" customWidth="1"/>
    <col min="7942" max="7942" width="29.85546875" customWidth="1"/>
    <col min="7943" max="7943" width="1.42578125" customWidth="1"/>
    <col min="7944" max="7944" width="2.5703125" customWidth="1"/>
    <col min="7945" max="7945" width="2.85546875" customWidth="1"/>
    <col min="8194" max="8194" width="41.140625" customWidth="1"/>
    <col min="8197" max="8197" width="16.140625" customWidth="1"/>
    <col min="8198" max="8198" width="29.85546875" customWidth="1"/>
    <col min="8199" max="8199" width="1.42578125" customWidth="1"/>
    <col min="8200" max="8200" width="2.5703125" customWidth="1"/>
    <col min="8201" max="8201" width="2.85546875" customWidth="1"/>
    <col min="8450" max="8450" width="41.140625" customWidth="1"/>
    <col min="8453" max="8453" width="16.140625" customWidth="1"/>
    <col min="8454" max="8454" width="29.85546875" customWidth="1"/>
    <col min="8455" max="8455" width="1.42578125" customWidth="1"/>
    <col min="8456" max="8456" width="2.5703125" customWidth="1"/>
    <col min="8457" max="8457" width="2.85546875" customWidth="1"/>
    <col min="8706" max="8706" width="41.140625" customWidth="1"/>
    <col min="8709" max="8709" width="16.140625" customWidth="1"/>
    <col min="8710" max="8710" width="29.85546875" customWidth="1"/>
    <col min="8711" max="8711" width="1.42578125" customWidth="1"/>
    <col min="8712" max="8712" width="2.5703125" customWidth="1"/>
    <col min="8713" max="8713" width="2.85546875" customWidth="1"/>
    <col min="8962" max="8962" width="41.140625" customWidth="1"/>
    <col min="8965" max="8965" width="16.140625" customWidth="1"/>
    <col min="8966" max="8966" width="29.85546875" customWidth="1"/>
    <col min="8967" max="8967" width="1.42578125" customWidth="1"/>
    <col min="8968" max="8968" width="2.5703125" customWidth="1"/>
    <col min="8969" max="8969" width="2.85546875" customWidth="1"/>
    <col min="9218" max="9218" width="41.140625" customWidth="1"/>
    <col min="9221" max="9221" width="16.140625" customWidth="1"/>
    <col min="9222" max="9222" width="29.85546875" customWidth="1"/>
    <col min="9223" max="9223" width="1.42578125" customWidth="1"/>
    <col min="9224" max="9224" width="2.5703125" customWidth="1"/>
    <col min="9225" max="9225" width="2.85546875" customWidth="1"/>
    <col min="9474" max="9474" width="41.140625" customWidth="1"/>
    <col min="9477" max="9477" width="16.140625" customWidth="1"/>
    <col min="9478" max="9478" width="29.85546875" customWidth="1"/>
    <col min="9479" max="9479" width="1.42578125" customWidth="1"/>
    <col min="9480" max="9480" width="2.5703125" customWidth="1"/>
    <col min="9481" max="9481" width="2.85546875" customWidth="1"/>
    <col min="9730" max="9730" width="41.140625" customWidth="1"/>
    <col min="9733" max="9733" width="16.140625" customWidth="1"/>
    <col min="9734" max="9734" width="29.85546875" customWidth="1"/>
    <col min="9735" max="9735" width="1.42578125" customWidth="1"/>
    <col min="9736" max="9736" width="2.5703125" customWidth="1"/>
    <col min="9737" max="9737" width="2.85546875" customWidth="1"/>
    <col min="9986" max="9986" width="41.140625" customWidth="1"/>
    <col min="9989" max="9989" width="16.140625" customWidth="1"/>
    <col min="9990" max="9990" width="29.85546875" customWidth="1"/>
    <col min="9991" max="9991" width="1.42578125" customWidth="1"/>
    <col min="9992" max="9992" width="2.5703125" customWidth="1"/>
    <col min="9993" max="9993" width="2.85546875" customWidth="1"/>
    <col min="10242" max="10242" width="41.140625" customWidth="1"/>
    <col min="10245" max="10245" width="16.140625" customWidth="1"/>
    <col min="10246" max="10246" width="29.85546875" customWidth="1"/>
    <col min="10247" max="10247" width="1.42578125" customWidth="1"/>
    <col min="10248" max="10248" width="2.5703125" customWidth="1"/>
    <col min="10249" max="10249" width="2.85546875" customWidth="1"/>
    <col min="10498" max="10498" width="41.140625" customWidth="1"/>
    <col min="10501" max="10501" width="16.140625" customWidth="1"/>
    <col min="10502" max="10502" width="29.85546875" customWidth="1"/>
    <col min="10503" max="10503" width="1.42578125" customWidth="1"/>
    <col min="10504" max="10504" width="2.5703125" customWidth="1"/>
    <col min="10505" max="10505" width="2.85546875" customWidth="1"/>
    <col min="10754" max="10754" width="41.140625" customWidth="1"/>
    <col min="10757" max="10757" width="16.140625" customWidth="1"/>
    <col min="10758" max="10758" width="29.85546875" customWidth="1"/>
    <col min="10759" max="10759" width="1.42578125" customWidth="1"/>
    <col min="10760" max="10760" width="2.5703125" customWidth="1"/>
    <col min="10761" max="10761" width="2.85546875" customWidth="1"/>
    <col min="11010" max="11010" width="41.140625" customWidth="1"/>
    <col min="11013" max="11013" width="16.140625" customWidth="1"/>
    <col min="11014" max="11014" width="29.85546875" customWidth="1"/>
    <col min="11015" max="11015" width="1.42578125" customWidth="1"/>
    <col min="11016" max="11016" width="2.5703125" customWidth="1"/>
    <col min="11017" max="11017" width="2.85546875" customWidth="1"/>
    <col min="11266" max="11266" width="41.140625" customWidth="1"/>
    <col min="11269" max="11269" width="16.140625" customWidth="1"/>
    <col min="11270" max="11270" width="29.85546875" customWidth="1"/>
    <col min="11271" max="11271" width="1.42578125" customWidth="1"/>
    <col min="11272" max="11272" width="2.5703125" customWidth="1"/>
    <col min="11273" max="11273" width="2.85546875" customWidth="1"/>
    <col min="11522" max="11522" width="41.140625" customWidth="1"/>
    <col min="11525" max="11525" width="16.140625" customWidth="1"/>
    <col min="11526" max="11526" width="29.85546875" customWidth="1"/>
    <col min="11527" max="11527" width="1.42578125" customWidth="1"/>
    <col min="11528" max="11528" width="2.5703125" customWidth="1"/>
    <col min="11529" max="11529" width="2.85546875" customWidth="1"/>
    <col min="11778" max="11778" width="41.140625" customWidth="1"/>
    <col min="11781" max="11781" width="16.140625" customWidth="1"/>
    <col min="11782" max="11782" width="29.85546875" customWidth="1"/>
    <col min="11783" max="11783" width="1.42578125" customWidth="1"/>
    <col min="11784" max="11784" width="2.5703125" customWidth="1"/>
    <col min="11785" max="11785" width="2.85546875" customWidth="1"/>
    <col min="12034" max="12034" width="41.140625" customWidth="1"/>
    <col min="12037" max="12037" width="16.140625" customWidth="1"/>
    <col min="12038" max="12038" width="29.85546875" customWidth="1"/>
    <col min="12039" max="12039" width="1.42578125" customWidth="1"/>
    <col min="12040" max="12040" width="2.5703125" customWidth="1"/>
    <col min="12041" max="12041" width="2.85546875" customWidth="1"/>
    <col min="12290" max="12290" width="41.140625" customWidth="1"/>
    <col min="12293" max="12293" width="16.140625" customWidth="1"/>
    <col min="12294" max="12294" width="29.85546875" customWidth="1"/>
    <col min="12295" max="12295" width="1.42578125" customWidth="1"/>
    <col min="12296" max="12296" width="2.5703125" customWidth="1"/>
    <col min="12297" max="12297" width="2.85546875" customWidth="1"/>
    <col min="12546" max="12546" width="41.140625" customWidth="1"/>
    <col min="12549" max="12549" width="16.140625" customWidth="1"/>
    <col min="12550" max="12550" width="29.85546875" customWidth="1"/>
    <col min="12551" max="12551" width="1.42578125" customWidth="1"/>
    <col min="12552" max="12552" width="2.5703125" customWidth="1"/>
    <col min="12553" max="12553" width="2.85546875" customWidth="1"/>
    <col min="12802" max="12802" width="41.140625" customWidth="1"/>
    <col min="12805" max="12805" width="16.140625" customWidth="1"/>
    <col min="12806" max="12806" width="29.85546875" customWidth="1"/>
    <col min="12807" max="12807" width="1.42578125" customWidth="1"/>
    <col min="12808" max="12808" width="2.5703125" customWidth="1"/>
    <col min="12809" max="12809" width="2.85546875" customWidth="1"/>
    <col min="13058" max="13058" width="41.140625" customWidth="1"/>
    <col min="13061" max="13061" width="16.140625" customWidth="1"/>
    <col min="13062" max="13062" width="29.85546875" customWidth="1"/>
    <col min="13063" max="13063" width="1.42578125" customWidth="1"/>
    <col min="13064" max="13064" width="2.5703125" customWidth="1"/>
    <col min="13065" max="13065" width="2.85546875" customWidth="1"/>
    <col min="13314" max="13314" width="41.140625" customWidth="1"/>
    <col min="13317" max="13317" width="16.140625" customWidth="1"/>
    <col min="13318" max="13318" width="29.85546875" customWidth="1"/>
    <col min="13319" max="13319" width="1.42578125" customWidth="1"/>
    <col min="13320" max="13320" width="2.5703125" customWidth="1"/>
    <col min="13321" max="13321" width="2.85546875" customWidth="1"/>
    <col min="13570" max="13570" width="41.140625" customWidth="1"/>
    <col min="13573" max="13573" width="16.140625" customWidth="1"/>
    <col min="13574" max="13574" width="29.85546875" customWidth="1"/>
    <col min="13575" max="13575" width="1.42578125" customWidth="1"/>
    <col min="13576" max="13576" width="2.5703125" customWidth="1"/>
    <col min="13577" max="13577" width="2.85546875" customWidth="1"/>
    <col min="13826" max="13826" width="41.140625" customWidth="1"/>
    <col min="13829" max="13829" width="16.140625" customWidth="1"/>
    <col min="13830" max="13830" width="29.85546875" customWidth="1"/>
    <col min="13831" max="13831" width="1.42578125" customWidth="1"/>
    <col min="13832" max="13832" width="2.5703125" customWidth="1"/>
    <col min="13833" max="13833" width="2.85546875" customWidth="1"/>
    <col min="14082" max="14082" width="41.140625" customWidth="1"/>
    <col min="14085" max="14085" width="16.140625" customWidth="1"/>
    <col min="14086" max="14086" width="29.85546875" customWidth="1"/>
    <col min="14087" max="14087" width="1.42578125" customWidth="1"/>
    <col min="14088" max="14088" width="2.5703125" customWidth="1"/>
    <col min="14089" max="14089" width="2.85546875" customWidth="1"/>
    <col min="14338" max="14338" width="41.140625" customWidth="1"/>
    <col min="14341" max="14341" width="16.140625" customWidth="1"/>
    <col min="14342" max="14342" width="29.85546875" customWidth="1"/>
    <col min="14343" max="14343" width="1.42578125" customWidth="1"/>
    <col min="14344" max="14344" width="2.5703125" customWidth="1"/>
    <col min="14345" max="14345" width="2.85546875" customWidth="1"/>
    <col min="14594" max="14594" width="41.140625" customWidth="1"/>
    <col min="14597" max="14597" width="16.140625" customWidth="1"/>
    <col min="14598" max="14598" width="29.85546875" customWidth="1"/>
    <col min="14599" max="14599" width="1.42578125" customWidth="1"/>
    <col min="14600" max="14600" width="2.5703125" customWidth="1"/>
    <col min="14601" max="14601" width="2.85546875" customWidth="1"/>
    <col min="14850" max="14850" width="41.140625" customWidth="1"/>
    <col min="14853" max="14853" width="16.140625" customWidth="1"/>
    <col min="14854" max="14854" width="29.85546875" customWidth="1"/>
    <col min="14855" max="14855" width="1.42578125" customWidth="1"/>
    <col min="14856" max="14856" width="2.5703125" customWidth="1"/>
    <col min="14857" max="14857" width="2.85546875" customWidth="1"/>
    <col min="15106" max="15106" width="41.140625" customWidth="1"/>
    <col min="15109" max="15109" width="16.140625" customWidth="1"/>
    <col min="15110" max="15110" width="29.85546875" customWidth="1"/>
    <col min="15111" max="15111" width="1.42578125" customWidth="1"/>
    <col min="15112" max="15112" width="2.5703125" customWidth="1"/>
    <col min="15113" max="15113" width="2.85546875" customWidth="1"/>
    <col min="15362" max="15362" width="41.140625" customWidth="1"/>
    <col min="15365" max="15365" width="16.140625" customWidth="1"/>
    <col min="15366" max="15366" width="29.85546875" customWidth="1"/>
    <col min="15367" max="15367" width="1.42578125" customWidth="1"/>
    <col min="15368" max="15368" width="2.5703125" customWidth="1"/>
    <col min="15369" max="15369" width="2.85546875" customWidth="1"/>
    <col min="15618" max="15618" width="41.140625" customWidth="1"/>
    <col min="15621" max="15621" width="16.140625" customWidth="1"/>
    <col min="15622" max="15622" width="29.85546875" customWidth="1"/>
    <col min="15623" max="15623" width="1.42578125" customWidth="1"/>
    <col min="15624" max="15624" width="2.5703125" customWidth="1"/>
    <col min="15625" max="15625" width="2.85546875" customWidth="1"/>
    <col min="15874" max="15874" width="41.140625" customWidth="1"/>
    <col min="15877" max="15877" width="16.140625" customWidth="1"/>
    <col min="15878" max="15878" width="29.85546875" customWidth="1"/>
    <col min="15879" max="15879" width="1.42578125" customWidth="1"/>
    <col min="15880" max="15880" width="2.5703125" customWidth="1"/>
    <col min="15881" max="15881" width="2.85546875" customWidth="1"/>
    <col min="16130" max="16130" width="41.140625" customWidth="1"/>
    <col min="16133" max="16133" width="16.140625" customWidth="1"/>
    <col min="16134" max="16134" width="29.85546875" customWidth="1"/>
    <col min="16135" max="16135" width="1.42578125" customWidth="1"/>
    <col min="16136" max="16136" width="2.5703125" customWidth="1"/>
    <col min="16137" max="16137" width="2.85546875" customWidth="1"/>
  </cols>
  <sheetData>
    <row r="1" spans="2:10" ht="21" x14ac:dyDescent="0.35">
      <c r="B1" s="370" t="s">
        <v>234</v>
      </c>
      <c r="C1" s="370"/>
      <c r="D1" s="370"/>
      <c r="E1" s="370"/>
    </row>
    <row r="3" spans="2:10" ht="23.25" x14ac:dyDescent="0.35">
      <c r="B3" s="327" t="s">
        <v>235</v>
      </c>
      <c r="E3" s="234" t="s">
        <v>236</v>
      </c>
    </row>
    <row r="4" spans="2:10" ht="23.25" x14ac:dyDescent="0.35">
      <c r="B4" s="328" t="s">
        <v>237</v>
      </c>
      <c r="E4" s="329"/>
    </row>
    <row r="5" spans="2:10" ht="23.25" x14ac:dyDescent="0.35">
      <c r="B5" s="328" t="s">
        <v>238</v>
      </c>
      <c r="E5" s="330" t="s">
        <v>239</v>
      </c>
    </row>
    <row r="6" spans="2:10" ht="23.25" x14ac:dyDescent="0.35">
      <c r="B6" s="328" t="s">
        <v>240</v>
      </c>
      <c r="E6" s="330" t="s">
        <v>241</v>
      </c>
    </row>
    <row r="7" spans="2:10" ht="23.25" x14ac:dyDescent="0.35">
      <c r="B7" s="328" t="s">
        <v>242</v>
      </c>
      <c r="E7" s="330" t="s">
        <v>243</v>
      </c>
    </row>
    <row r="8" spans="2:10" ht="23.25" x14ac:dyDescent="0.35">
      <c r="B8" s="328" t="s">
        <v>244</v>
      </c>
      <c r="E8" s="331" t="s">
        <v>245</v>
      </c>
    </row>
    <row r="9" spans="2:10" ht="23.25" x14ac:dyDescent="0.35">
      <c r="B9" s="328" t="s">
        <v>246</v>
      </c>
      <c r="D9" s="2"/>
      <c r="E9" s="330" t="s">
        <v>247</v>
      </c>
    </row>
    <row r="10" spans="2:10" ht="23.25" x14ac:dyDescent="0.35">
      <c r="B10" s="328" t="s">
        <v>248</v>
      </c>
      <c r="E10" s="330" t="s">
        <v>249</v>
      </c>
    </row>
    <row r="11" spans="2:10" ht="23.25" x14ac:dyDescent="0.35">
      <c r="B11" s="328" t="s">
        <v>250</v>
      </c>
    </row>
    <row r="12" spans="2:10" ht="23.25" x14ac:dyDescent="0.35">
      <c r="B12" s="328" t="s">
        <v>251</v>
      </c>
      <c r="E12" s="331" t="s">
        <v>252</v>
      </c>
      <c r="J12" s="332" t="s">
        <v>253</v>
      </c>
    </row>
    <row r="13" spans="2:10" ht="23.25" x14ac:dyDescent="0.35">
      <c r="B13" s="328" t="s">
        <v>254</v>
      </c>
    </row>
    <row r="14" spans="2:10" ht="23.25" x14ac:dyDescent="0.35">
      <c r="B14" s="328" t="s">
        <v>255</v>
      </c>
      <c r="E14" s="333" t="s">
        <v>256</v>
      </c>
      <c r="F14" s="334" t="s">
        <v>257</v>
      </c>
    </row>
    <row r="15" spans="2:10" ht="23.25" x14ac:dyDescent="0.35">
      <c r="B15" s="328" t="s">
        <v>258</v>
      </c>
    </row>
    <row r="16" spans="2:10" ht="23.25" x14ac:dyDescent="0.35">
      <c r="B16" s="328" t="s">
        <v>259</v>
      </c>
    </row>
    <row r="17" spans="2:2" ht="23.25" x14ac:dyDescent="0.35">
      <c r="B17" s="328" t="s">
        <v>260</v>
      </c>
    </row>
    <row r="18" spans="2:2" ht="23.25" x14ac:dyDescent="0.35">
      <c r="B18" s="328" t="s">
        <v>261</v>
      </c>
    </row>
    <row r="19" spans="2:2" ht="23.25" x14ac:dyDescent="0.35">
      <c r="B19" s="328" t="s">
        <v>262</v>
      </c>
    </row>
    <row r="20" spans="2:2" ht="23.25" x14ac:dyDescent="0.35">
      <c r="B20" s="328" t="s">
        <v>263</v>
      </c>
    </row>
    <row r="21" spans="2:2" ht="23.25" x14ac:dyDescent="0.35">
      <c r="B21" s="328" t="s">
        <v>264</v>
      </c>
    </row>
    <row r="22" spans="2:2" ht="23.25" x14ac:dyDescent="0.35">
      <c r="B22" s="328" t="s">
        <v>265</v>
      </c>
    </row>
    <row r="23" spans="2:2" ht="23.25" x14ac:dyDescent="0.35">
      <c r="B23" s="328" t="s">
        <v>266</v>
      </c>
    </row>
    <row r="24" spans="2:2" ht="23.25" x14ac:dyDescent="0.35">
      <c r="B24" s="328" t="s">
        <v>267</v>
      </c>
    </row>
    <row r="25" spans="2:2" ht="23.25" x14ac:dyDescent="0.35">
      <c r="B25" s="328" t="s">
        <v>268</v>
      </c>
    </row>
    <row r="26" spans="2:2" ht="23.25" x14ac:dyDescent="0.35">
      <c r="B26" s="328" t="s">
        <v>269</v>
      </c>
    </row>
    <row r="27" spans="2:2" ht="23.25" x14ac:dyDescent="0.35">
      <c r="B27" s="328" t="s">
        <v>270</v>
      </c>
    </row>
    <row r="28" spans="2:2" ht="23.25" x14ac:dyDescent="0.35">
      <c r="B28" s="328" t="s">
        <v>271</v>
      </c>
    </row>
    <row r="29" spans="2:2" ht="23.25" x14ac:dyDescent="0.35">
      <c r="B29" s="328" t="s">
        <v>272</v>
      </c>
    </row>
    <row r="30" spans="2:2" ht="23.25" x14ac:dyDescent="0.35">
      <c r="B30" s="328" t="s">
        <v>273</v>
      </c>
    </row>
    <row r="31" spans="2:2" ht="23.25" x14ac:dyDescent="0.35">
      <c r="B31" s="328" t="s">
        <v>274</v>
      </c>
    </row>
    <row r="32" spans="2:2" ht="23.25" x14ac:dyDescent="0.35">
      <c r="B32" s="328" t="s">
        <v>275</v>
      </c>
    </row>
    <row r="33" spans="2:2" ht="23.25" x14ac:dyDescent="0.35">
      <c r="B33" s="328" t="s">
        <v>276</v>
      </c>
    </row>
    <row r="34" spans="2:2" ht="23.25" x14ac:dyDescent="0.35">
      <c r="B34" s="328" t="s">
        <v>277</v>
      </c>
    </row>
    <row r="35" spans="2:2" ht="23.25" x14ac:dyDescent="0.35">
      <c r="B35" s="328" t="s">
        <v>278</v>
      </c>
    </row>
    <row r="36" spans="2:2" ht="23.25" x14ac:dyDescent="0.35">
      <c r="B36" s="328" t="s">
        <v>279</v>
      </c>
    </row>
    <row r="37" spans="2:2" ht="23.25" x14ac:dyDescent="0.35">
      <c r="B37" s="328" t="s">
        <v>280</v>
      </c>
    </row>
    <row r="38" spans="2:2" ht="23.25" x14ac:dyDescent="0.35">
      <c r="B38" s="328" t="s">
        <v>281</v>
      </c>
    </row>
    <row r="39" spans="2:2" ht="23.25" x14ac:dyDescent="0.35">
      <c r="B39" s="328" t="s">
        <v>282</v>
      </c>
    </row>
    <row r="40" spans="2:2" ht="23.25" x14ac:dyDescent="0.35">
      <c r="B40" s="328" t="s">
        <v>283</v>
      </c>
    </row>
    <row r="41" spans="2:2" ht="23.25" x14ac:dyDescent="0.35">
      <c r="B41" s="328" t="s">
        <v>284</v>
      </c>
    </row>
    <row r="42" spans="2:2" ht="23.25" x14ac:dyDescent="0.35">
      <c r="B42" s="328" t="s">
        <v>285</v>
      </c>
    </row>
    <row r="43" spans="2:2" ht="23.25" x14ac:dyDescent="0.35">
      <c r="B43" s="328" t="s">
        <v>286</v>
      </c>
    </row>
    <row r="44" spans="2:2" ht="23.25" x14ac:dyDescent="0.35">
      <c r="B44" s="328" t="s">
        <v>287</v>
      </c>
    </row>
    <row r="45" spans="2:2" ht="23.25" x14ac:dyDescent="0.35">
      <c r="B45" s="328" t="s">
        <v>288</v>
      </c>
    </row>
    <row r="46" spans="2:2" ht="23.25" x14ac:dyDescent="0.35">
      <c r="B46" s="328" t="s">
        <v>289</v>
      </c>
    </row>
    <row r="47" spans="2:2" ht="23.25" x14ac:dyDescent="0.35">
      <c r="B47" s="328" t="s">
        <v>290</v>
      </c>
    </row>
    <row r="48" spans="2:2" ht="23.25" x14ac:dyDescent="0.35">
      <c r="B48" s="328" t="s">
        <v>291</v>
      </c>
    </row>
    <row r="49" spans="2:2" ht="23.25" x14ac:dyDescent="0.35">
      <c r="B49" s="328" t="s">
        <v>292</v>
      </c>
    </row>
    <row r="50" spans="2:2" ht="23.25" x14ac:dyDescent="0.35">
      <c r="B50" s="328" t="s">
        <v>293</v>
      </c>
    </row>
    <row r="51" spans="2:2" ht="23.25" x14ac:dyDescent="0.35">
      <c r="B51" s="328" t="s">
        <v>294</v>
      </c>
    </row>
    <row r="52" spans="2:2" ht="23.25" x14ac:dyDescent="0.35">
      <c r="B52" s="328" t="s">
        <v>295</v>
      </c>
    </row>
    <row r="53" spans="2:2" ht="23.25" x14ac:dyDescent="0.35">
      <c r="B53" s="328" t="s">
        <v>296</v>
      </c>
    </row>
    <row r="54" spans="2:2" ht="23.25" x14ac:dyDescent="0.35">
      <c r="B54" s="328" t="s">
        <v>297</v>
      </c>
    </row>
    <row r="55" spans="2:2" ht="23.25" x14ac:dyDescent="0.35">
      <c r="B55" s="328" t="s">
        <v>298</v>
      </c>
    </row>
    <row r="56" spans="2:2" ht="23.25" x14ac:dyDescent="0.35">
      <c r="B56" s="328" t="s">
        <v>299</v>
      </c>
    </row>
    <row r="57" spans="2:2" ht="23.25" x14ac:dyDescent="0.35">
      <c r="B57" s="328" t="s">
        <v>300</v>
      </c>
    </row>
    <row r="58" spans="2:2" ht="23.25" x14ac:dyDescent="0.35">
      <c r="B58" s="328" t="s">
        <v>301</v>
      </c>
    </row>
    <row r="59" spans="2:2" ht="23.25" x14ac:dyDescent="0.35">
      <c r="B59" s="328" t="s">
        <v>302</v>
      </c>
    </row>
    <row r="60" spans="2:2" ht="23.25" x14ac:dyDescent="0.35">
      <c r="B60" s="328" t="s">
        <v>303</v>
      </c>
    </row>
    <row r="61" spans="2:2" ht="23.25" x14ac:dyDescent="0.35">
      <c r="B61" s="328" t="s">
        <v>304</v>
      </c>
    </row>
    <row r="62" spans="2:2" ht="23.25" x14ac:dyDescent="0.35">
      <c r="B62" s="328" t="s">
        <v>305</v>
      </c>
    </row>
    <row r="63" spans="2:2" ht="23.25" x14ac:dyDescent="0.35">
      <c r="B63" s="328" t="s">
        <v>306</v>
      </c>
    </row>
    <row r="64" spans="2:2" ht="23.25" x14ac:dyDescent="0.35">
      <c r="B64" s="328" t="s">
        <v>307</v>
      </c>
    </row>
    <row r="65" spans="2:2" ht="23.25" x14ac:dyDescent="0.35">
      <c r="B65" s="328" t="s">
        <v>308</v>
      </c>
    </row>
    <row r="66" spans="2:2" ht="23.25" x14ac:dyDescent="0.35">
      <c r="B66" s="328" t="s">
        <v>309</v>
      </c>
    </row>
    <row r="67" spans="2:2" ht="23.25" x14ac:dyDescent="0.35">
      <c r="B67" s="328" t="s">
        <v>310</v>
      </c>
    </row>
    <row r="68" spans="2:2" ht="23.25" x14ac:dyDescent="0.35">
      <c r="B68" s="328" t="s">
        <v>311</v>
      </c>
    </row>
    <row r="69" spans="2:2" ht="23.25" x14ac:dyDescent="0.35">
      <c r="B69" s="328" t="s">
        <v>312</v>
      </c>
    </row>
    <row r="70" spans="2:2" ht="23.25" x14ac:dyDescent="0.35">
      <c r="B70" s="328" t="s">
        <v>313</v>
      </c>
    </row>
    <row r="71" spans="2:2" ht="23.25" x14ac:dyDescent="0.35">
      <c r="B71" s="328" t="s">
        <v>314</v>
      </c>
    </row>
    <row r="72" spans="2:2" ht="23.25" x14ac:dyDescent="0.35">
      <c r="B72" s="328" t="s">
        <v>315</v>
      </c>
    </row>
    <row r="73" spans="2:2" ht="23.25" x14ac:dyDescent="0.35">
      <c r="B73" s="328" t="s">
        <v>316</v>
      </c>
    </row>
    <row r="74" spans="2:2" ht="23.25" x14ac:dyDescent="0.35">
      <c r="B74" s="328" t="s">
        <v>317</v>
      </c>
    </row>
    <row r="75" spans="2:2" ht="23.25" x14ac:dyDescent="0.35">
      <c r="B75" s="328" t="s">
        <v>318</v>
      </c>
    </row>
    <row r="76" spans="2:2" ht="23.25" x14ac:dyDescent="0.35">
      <c r="B76" s="328" t="s">
        <v>319</v>
      </c>
    </row>
    <row r="77" spans="2:2" ht="23.25" x14ac:dyDescent="0.35">
      <c r="B77" s="328" t="s">
        <v>320</v>
      </c>
    </row>
    <row r="78" spans="2:2" ht="23.25" x14ac:dyDescent="0.35">
      <c r="B78" s="328" t="s">
        <v>321</v>
      </c>
    </row>
    <row r="79" spans="2:2" ht="23.25" x14ac:dyDescent="0.35">
      <c r="B79" s="328" t="s">
        <v>322</v>
      </c>
    </row>
    <row r="80" spans="2:2" ht="23.25" x14ac:dyDescent="0.35">
      <c r="B80" s="328" t="s">
        <v>323</v>
      </c>
    </row>
    <row r="81" spans="2:2" ht="23.25" x14ac:dyDescent="0.35">
      <c r="B81" s="328" t="s">
        <v>324</v>
      </c>
    </row>
    <row r="82" spans="2:2" ht="23.25" x14ac:dyDescent="0.35">
      <c r="B82" s="328" t="s">
        <v>325</v>
      </c>
    </row>
    <row r="83" spans="2:2" ht="23.25" x14ac:dyDescent="0.35">
      <c r="B83" s="328" t="s">
        <v>326</v>
      </c>
    </row>
    <row r="84" spans="2:2" ht="23.25" x14ac:dyDescent="0.35">
      <c r="B84" s="328" t="s">
        <v>327</v>
      </c>
    </row>
    <row r="85" spans="2:2" ht="23.25" x14ac:dyDescent="0.35">
      <c r="B85" s="328" t="s">
        <v>328</v>
      </c>
    </row>
    <row r="86" spans="2:2" ht="23.25" x14ac:dyDescent="0.35">
      <c r="B86" s="328" t="s">
        <v>329</v>
      </c>
    </row>
    <row r="87" spans="2:2" ht="23.25" x14ac:dyDescent="0.35">
      <c r="B87" s="328" t="s">
        <v>330</v>
      </c>
    </row>
    <row r="88" spans="2:2" ht="23.25" x14ac:dyDescent="0.35">
      <c r="B88" s="328" t="s">
        <v>331</v>
      </c>
    </row>
    <row r="89" spans="2:2" ht="23.25" x14ac:dyDescent="0.35">
      <c r="B89" s="328" t="s">
        <v>332</v>
      </c>
    </row>
    <row r="90" spans="2:2" ht="23.25" x14ac:dyDescent="0.35">
      <c r="B90" s="328" t="s">
        <v>333</v>
      </c>
    </row>
    <row r="91" spans="2:2" ht="23.25" x14ac:dyDescent="0.35">
      <c r="B91" s="328" t="s">
        <v>334</v>
      </c>
    </row>
    <row r="92" spans="2:2" ht="23.25" x14ac:dyDescent="0.35">
      <c r="B92" s="328" t="s">
        <v>335</v>
      </c>
    </row>
    <row r="93" spans="2:2" ht="23.25" x14ac:dyDescent="0.35">
      <c r="B93" s="328" t="s">
        <v>336</v>
      </c>
    </row>
    <row r="94" spans="2:2" ht="23.25" x14ac:dyDescent="0.35">
      <c r="B94" s="328" t="s">
        <v>337</v>
      </c>
    </row>
    <row r="95" spans="2:2" ht="23.25" x14ac:dyDescent="0.35">
      <c r="B95" s="328" t="s">
        <v>338</v>
      </c>
    </row>
    <row r="96" spans="2:2" ht="23.25" x14ac:dyDescent="0.35">
      <c r="B96" s="328" t="s">
        <v>339</v>
      </c>
    </row>
    <row r="97" spans="2:2" ht="23.25" x14ac:dyDescent="0.35">
      <c r="B97" s="328" t="s">
        <v>340</v>
      </c>
    </row>
    <row r="98" spans="2:2" ht="23.25" x14ac:dyDescent="0.35">
      <c r="B98" s="328" t="s">
        <v>341</v>
      </c>
    </row>
    <row r="99" spans="2:2" ht="23.25" x14ac:dyDescent="0.35">
      <c r="B99" s="328" t="s">
        <v>342</v>
      </c>
    </row>
    <row r="100" spans="2:2" ht="23.25" x14ac:dyDescent="0.35">
      <c r="B100" s="328" t="s">
        <v>343</v>
      </c>
    </row>
    <row r="101" spans="2:2" ht="23.25" x14ac:dyDescent="0.35">
      <c r="B101" s="328" t="s">
        <v>344</v>
      </c>
    </row>
    <row r="102" spans="2:2" ht="23.25" x14ac:dyDescent="0.35">
      <c r="B102" s="328" t="s">
        <v>345</v>
      </c>
    </row>
    <row r="103" spans="2:2" ht="23.25" x14ac:dyDescent="0.35">
      <c r="B103" s="328" t="s">
        <v>346</v>
      </c>
    </row>
    <row r="104" spans="2:2" ht="23.25" x14ac:dyDescent="0.35">
      <c r="B104" s="328" t="s">
        <v>347</v>
      </c>
    </row>
    <row r="105" spans="2:2" ht="23.25" x14ac:dyDescent="0.35">
      <c r="B105" s="328" t="s">
        <v>348</v>
      </c>
    </row>
    <row r="106" spans="2:2" ht="23.25" x14ac:dyDescent="0.35">
      <c r="B106" s="328" t="s">
        <v>349</v>
      </c>
    </row>
    <row r="107" spans="2:2" ht="23.25" x14ac:dyDescent="0.35">
      <c r="B107" s="328" t="s">
        <v>350</v>
      </c>
    </row>
    <row r="108" spans="2:2" ht="23.25" x14ac:dyDescent="0.35">
      <c r="B108" s="328" t="s">
        <v>351</v>
      </c>
    </row>
    <row r="109" spans="2:2" ht="23.25" x14ac:dyDescent="0.35">
      <c r="B109" s="328" t="s">
        <v>352</v>
      </c>
    </row>
    <row r="110" spans="2:2" ht="23.25" x14ac:dyDescent="0.35">
      <c r="B110" s="328" t="s">
        <v>353</v>
      </c>
    </row>
    <row r="111" spans="2:2" ht="23.25" x14ac:dyDescent="0.35">
      <c r="B111" s="328" t="s">
        <v>354</v>
      </c>
    </row>
    <row r="112" spans="2:2" ht="23.25" x14ac:dyDescent="0.35">
      <c r="B112" s="328" t="s">
        <v>355</v>
      </c>
    </row>
    <row r="113" spans="2:2" ht="23.25" x14ac:dyDescent="0.35">
      <c r="B113" s="328" t="s">
        <v>356</v>
      </c>
    </row>
    <row r="114" spans="2:2" ht="23.25" x14ac:dyDescent="0.35">
      <c r="B114" s="328" t="s">
        <v>357</v>
      </c>
    </row>
    <row r="115" spans="2:2" ht="23.25" x14ac:dyDescent="0.35">
      <c r="B115" s="328" t="s">
        <v>358</v>
      </c>
    </row>
    <row r="116" spans="2:2" ht="23.25" x14ac:dyDescent="0.35">
      <c r="B116" s="328" t="s">
        <v>359</v>
      </c>
    </row>
    <row r="117" spans="2:2" ht="23.25" x14ac:dyDescent="0.35">
      <c r="B117" s="328" t="s">
        <v>360</v>
      </c>
    </row>
    <row r="118" spans="2:2" ht="23.25" x14ac:dyDescent="0.35">
      <c r="B118" s="328" t="s">
        <v>361</v>
      </c>
    </row>
    <row r="119" spans="2:2" ht="23.25" x14ac:dyDescent="0.35">
      <c r="B119" s="328" t="s">
        <v>362</v>
      </c>
    </row>
    <row r="120" spans="2:2" ht="23.25" x14ac:dyDescent="0.35">
      <c r="B120" s="328" t="s">
        <v>363</v>
      </c>
    </row>
    <row r="121" spans="2:2" ht="23.25" x14ac:dyDescent="0.35">
      <c r="B121" s="328" t="s">
        <v>364</v>
      </c>
    </row>
    <row r="122" spans="2:2" ht="23.25" x14ac:dyDescent="0.35">
      <c r="B122" s="328" t="s">
        <v>365</v>
      </c>
    </row>
    <row r="123" spans="2:2" ht="23.25" x14ac:dyDescent="0.35">
      <c r="B123" s="328" t="s">
        <v>366</v>
      </c>
    </row>
    <row r="124" spans="2:2" ht="23.25" x14ac:dyDescent="0.35">
      <c r="B124" s="328" t="s">
        <v>367</v>
      </c>
    </row>
    <row r="125" spans="2:2" ht="23.25" x14ac:dyDescent="0.35">
      <c r="B125" s="328" t="s">
        <v>368</v>
      </c>
    </row>
    <row r="126" spans="2:2" ht="23.25" x14ac:dyDescent="0.35">
      <c r="B126" s="328" t="s">
        <v>369</v>
      </c>
    </row>
    <row r="127" spans="2:2" ht="23.25" x14ac:dyDescent="0.35">
      <c r="B127" s="328" t="s">
        <v>370</v>
      </c>
    </row>
    <row r="128" spans="2:2" ht="23.25" x14ac:dyDescent="0.35">
      <c r="B128" s="328" t="s">
        <v>371</v>
      </c>
    </row>
    <row r="129" spans="2:2" ht="23.25" x14ac:dyDescent="0.35">
      <c r="B129" s="328" t="s">
        <v>372</v>
      </c>
    </row>
    <row r="130" spans="2:2" ht="23.25" x14ac:dyDescent="0.35">
      <c r="B130" s="328" t="s">
        <v>373</v>
      </c>
    </row>
    <row r="131" spans="2:2" ht="23.25" x14ac:dyDescent="0.35">
      <c r="B131" s="328" t="s">
        <v>374</v>
      </c>
    </row>
    <row r="132" spans="2:2" ht="23.25" x14ac:dyDescent="0.35">
      <c r="B132" s="328" t="s">
        <v>375</v>
      </c>
    </row>
    <row r="133" spans="2:2" ht="23.25" x14ac:dyDescent="0.35">
      <c r="B133" s="328" t="s">
        <v>376</v>
      </c>
    </row>
    <row r="134" spans="2:2" ht="23.25" x14ac:dyDescent="0.35">
      <c r="B134" s="328" t="s">
        <v>377</v>
      </c>
    </row>
    <row r="135" spans="2:2" ht="23.25" x14ac:dyDescent="0.35">
      <c r="B135" s="328" t="s">
        <v>378</v>
      </c>
    </row>
    <row r="136" spans="2:2" ht="23.25" x14ac:dyDescent="0.35">
      <c r="B136" s="328" t="s">
        <v>379</v>
      </c>
    </row>
    <row r="137" spans="2:2" ht="23.25" x14ac:dyDescent="0.35">
      <c r="B137" s="328" t="s">
        <v>380</v>
      </c>
    </row>
    <row r="138" spans="2:2" ht="23.25" x14ac:dyDescent="0.35">
      <c r="B138" s="328" t="s">
        <v>381</v>
      </c>
    </row>
    <row r="139" spans="2:2" ht="23.25" x14ac:dyDescent="0.35">
      <c r="B139" s="328" t="s">
        <v>382</v>
      </c>
    </row>
    <row r="140" spans="2:2" ht="23.25" x14ac:dyDescent="0.35">
      <c r="B140" s="328" t="s">
        <v>383</v>
      </c>
    </row>
    <row r="141" spans="2:2" ht="23.25" x14ac:dyDescent="0.35">
      <c r="B141" s="328" t="s">
        <v>384</v>
      </c>
    </row>
    <row r="142" spans="2:2" ht="23.25" x14ac:dyDescent="0.35">
      <c r="B142" s="328" t="s">
        <v>385</v>
      </c>
    </row>
    <row r="143" spans="2:2" ht="23.25" x14ac:dyDescent="0.35">
      <c r="B143" s="328" t="s">
        <v>386</v>
      </c>
    </row>
    <row r="144" spans="2:2" ht="23.25" x14ac:dyDescent="0.35">
      <c r="B144" s="328" t="s">
        <v>387</v>
      </c>
    </row>
    <row r="145" spans="2:2" ht="23.25" x14ac:dyDescent="0.35">
      <c r="B145" s="328" t="s">
        <v>388</v>
      </c>
    </row>
    <row r="146" spans="2:2" ht="23.25" x14ac:dyDescent="0.35">
      <c r="B146" s="328" t="s">
        <v>389</v>
      </c>
    </row>
    <row r="147" spans="2:2" ht="23.25" x14ac:dyDescent="0.35">
      <c r="B147" s="328" t="s">
        <v>390</v>
      </c>
    </row>
    <row r="148" spans="2:2" ht="23.25" x14ac:dyDescent="0.35">
      <c r="B148" s="328" t="s">
        <v>391</v>
      </c>
    </row>
    <row r="149" spans="2:2" ht="23.25" x14ac:dyDescent="0.35">
      <c r="B149" s="328" t="s">
        <v>392</v>
      </c>
    </row>
    <row r="150" spans="2:2" ht="23.25" x14ac:dyDescent="0.35">
      <c r="B150" s="328" t="s">
        <v>393</v>
      </c>
    </row>
    <row r="151" spans="2:2" ht="23.25" x14ac:dyDescent="0.35">
      <c r="B151" s="328" t="s">
        <v>394</v>
      </c>
    </row>
    <row r="152" spans="2:2" ht="23.25" x14ac:dyDescent="0.35">
      <c r="B152" s="328" t="s">
        <v>395</v>
      </c>
    </row>
    <row r="153" spans="2:2" ht="23.25" x14ac:dyDescent="0.35">
      <c r="B153" s="328" t="s">
        <v>396</v>
      </c>
    </row>
    <row r="154" spans="2:2" ht="23.25" x14ac:dyDescent="0.35">
      <c r="B154" s="328" t="s">
        <v>397</v>
      </c>
    </row>
    <row r="155" spans="2:2" ht="23.25" x14ac:dyDescent="0.35">
      <c r="B155" s="328" t="s">
        <v>398</v>
      </c>
    </row>
    <row r="156" spans="2:2" ht="23.25" x14ac:dyDescent="0.35">
      <c r="B156" s="328" t="s">
        <v>399</v>
      </c>
    </row>
    <row r="157" spans="2:2" ht="23.25" x14ac:dyDescent="0.35">
      <c r="B157" s="328" t="s">
        <v>400</v>
      </c>
    </row>
    <row r="158" spans="2:2" ht="23.25" x14ac:dyDescent="0.35">
      <c r="B158" s="328" t="s">
        <v>401</v>
      </c>
    </row>
    <row r="159" spans="2:2" ht="23.25" x14ac:dyDescent="0.35">
      <c r="B159" s="328" t="s">
        <v>402</v>
      </c>
    </row>
    <row r="160" spans="2:2" ht="23.25" x14ac:dyDescent="0.35">
      <c r="B160" s="328" t="s">
        <v>403</v>
      </c>
    </row>
    <row r="161" spans="2:2" ht="23.25" x14ac:dyDescent="0.35">
      <c r="B161" s="328" t="s">
        <v>404</v>
      </c>
    </row>
    <row r="162" spans="2:2" ht="23.25" x14ac:dyDescent="0.35">
      <c r="B162" s="328" t="s">
        <v>405</v>
      </c>
    </row>
    <row r="163" spans="2:2" ht="23.25" x14ac:dyDescent="0.35">
      <c r="B163" s="328" t="s">
        <v>406</v>
      </c>
    </row>
    <row r="164" spans="2:2" ht="23.25" x14ac:dyDescent="0.35">
      <c r="B164" s="328" t="s">
        <v>407</v>
      </c>
    </row>
    <row r="165" spans="2:2" ht="23.25" x14ac:dyDescent="0.35">
      <c r="B165" s="328" t="s">
        <v>408</v>
      </c>
    </row>
    <row r="166" spans="2:2" ht="23.25" x14ac:dyDescent="0.35">
      <c r="B166" s="328" t="s">
        <v>409</v>
      </c>
    </row>
    <row r="167" spans="2:2" ht="23.25" x14ac:dyDescent="0.35">
      <c r="B167" s="328" t="s">
        <v>410</v>
      </c>
    </row>
    <row r="168" spans="2:2" ht="23.25" x14ac:dyDescent="0.35">
      <c r="B168" s="328" t="s">
        <v>411</v>
      </c>
    </row>
    <row r="169" spans="2:2" ht="23.25" x14ac:dyDescent="0.35">
      <c r="B169" s="328" t="s">
        <v>412</v>
      </c>
    </row>
    <row r="170" spans="2:2" ht="23.25" x14ac:dyDescent="0.35">
      <c r="B170" s="328" t="s">
        <v>413</v>
      </c>
    </row>
    <row r="171" spans="2:2" ht="23.25" x14ac:dyDescent="0.35">
      <c r="B171" s="328" t="s">
        <v>414</v>
      </c>
    </row>
    <row r="172" spans="2:2" ht="23.25" x14ac:dyDescent="0.35">
      <c r="B172" s="328" t="s">
        <v>415</v>
      </c>
    </row>
    <row r="173" spans="2:2" ht="23.25" x14ac:dyDescent="0.35">
      <c r="B173" s="328" t="s">
        <v>416</v>
      </c>
    </row>
    <row r="174" spans="2:2" ht="23.25" x14ac:dyDescent="0.35">
      <c r="B174" s="328" t="s">
        <v>283</v>
      </c>
    </row>
    <row r="175" spans="2:2" ht="23.25" x14ac:dyDescent="0.35">
      <c r="B175" s="328" t="s">
        <v>417</v>
      </c>
    </row>
    <row r="176" spans="2:2" ht="23.25" x14ac:dyDescent="0.35">
      <c r="B176" s="328" t="s">
        <v>418</v>
      </c>
    </row>
    <row r="177" spans="2:2" ht="23.25" x14ac:dyDescent="0.35">
      <c r="B177" s="328" t="s">
        <v>419</v>
      </c>
    </row>
    <row r="178" spans="2:2" ht="23.25" x14ac:dyDescent="0.35">
      <c r="B178" s="328" t="s">
        <v>420</v>
      </c>
    </row>
    <row r="179" spans="2:2" ht="23.25" x14ac:dyDescent="0.35">
      <c r="B179" s="328" t="s">
        <v>421</v>
      </c>
    </row>
    <row r="180" spans="2:2" ht="23.25" x14ac:dyDescent="0.35">
      <c r="B180" s="328" t="s">
        <v>422</v>
      </c>
    </row>
    <row r="181" spans="2:2" ht="23.25" x14ac:dyDescent="0.35">
      <c r="B181" s="328" t="s">
        <v>423</v>
      </c>
    </row>
    <row r="182" spans="2:2" ht="23.25" x14ac:dyDescent="0.35">
      <c r="B182" s="328" t="s">
        <v>424</v>
      </c>
    </row>
    <row r="183" spans="2:2" ht="23.25" x14ac:dyDescent="0.35">
      <c r="B183" s="328" t="s">
        <v>425</v>
      </c>
    </row>
    <row r="184" spans="2:2" ht="23.25" x14ac:dyDescent="0.35">
      <c r="B184" s="328" t="s">
        <v>426</v>
      </c>
    </row>
    <row r="185" spans="2:2" ht="23.25" x14ac:dyDescent="0.35">
      <c r="B185" s="328" t="s">
        <v>427</v>
      </c>
    </row>
    <row r="186" spans="2:2" ht="23.25" x14ac:dyDescent="0.35">
      <c r="B186" s="328" t="s">
        <v>428</v>
      </c>
    </row>
    <row r="187" spans="2:2" ht="23.25" x14ac:dyDescent="0.35">
      <c r="B187" s="328" t="s">
        <v>429</v>
      </c>
    </row>
    <row r="188" spans="2:2" ht="23.25" x14ac:dyDescent="0.35">
      <c r="B188" s="328" t="s">
        <v>430</v>
      </c>
    </row>
    <row r="189" spans="2:2" ht="23.25" x14ac:dyDescent="0.35">
      <c r="B189" s="328" t="s">
        <v>431</v>
      </c>
    </row>
    <row r="190" spans="2:2" ht="23.25" x14ac:dyDescent="0.35">
      <c r="B190" s="328" t="s">
        <v>432</v>
      </c>
    </row>
    <row r="191" spans="2:2" ht="23.25" x14ac:dyDescent="0.35">
      <c r="B191" s="328" t="s">
        <v>433</v>
      </c>
    </row>
    <row r="192" spans="2:2" ht="23.25" x14ac:dyDescent="0.35">
      <c r="B192" s="328" t="s">
        <v>434</v>
      </c>
    </row>
    <row r="193" spans="2:2" ht="23.25" x14ac:dyDescent="0.35">
      <c r="B193" s="328" t="s">
        <v>435</v>
      </c>
    </row>
    <row r="194" spans="2:2" ht="23.25" x14ac:dyDescent="0.35">
      <c r="B194" s="328" t="s">
        <v>436</v>
      </c>
    </row>
    <row r="195" spans="2:2" ht="23.25" x14ac:dyDescent="0.35">
      <c r="B195" s="328" t="s">
        <v>437</v>
      </c>
    </row>
    <row r="196" spans="2:2" ht="23.25" x14ac:dyDescent="0.35">
      <c r="B196" s="328" t="s">
        <v>438</v>
      </c>
    </row>
    <row r="197" spans="2:2" ht="23.25" x14ac:dyDescent="0.35">
      <c r="B197" s="328" t="s">
        <v>439</v>
      </c>
    </row>
    <row r="198" spans="2:2" ht="23.25" x14ac:dyDescent="0.35">
      <c r="B198" s="328" t="s">
        <v>440</v>
      </c>
    </row>
    <row r="199" spans="2:2" ht="23.25" x14ac:dyDescent="0.35">
      <c r="B199" s="328" t="s">
        <v>441</v>
      </c>
    </row>
    <row r="200" spans="2:2" ht="23.25" x14ac:dyDescent="0.35">
      <c r="B200" s="328" t="s">
        <v>442</v>
      </c>
    </row>
    <row r="201" spans="2:2" ht="23.25" x14ac:dyDescent="0.35">
      <c r="B201" s="328" t="s">
        <v>443</v>
      </c>
    </row>
    <row r="202" spans="2:2" ht="23.25" x14ac:dyDescent="0.35">
      <c r="B202" s="328" t="s">
        <v>444</v>
      </c>
    </row>
    <row r="203" spans="2:2" ht="23.25" x14ac:dyDescent="0.35">
      <c r="B203" s="328" t="s">
        <v>445</v>
      </c>
    </row>
    <row r="204" spans="2:2" ht="23.25" x14ac:dyDescent="0.35">
      <c r="B204" s="328" t="s">
        <v>446</v>
      </c>
    </row>
    <row r="205" spans="2:2" ht="23.25" x14ac:dyDescent="0.35">
      <c r="B205" s="328" t="s">
        <v>447</v>
      </c>
    </row>
    <row r="206" spans="2:2" ht="23.25" x14ac:dyDescent="0.35">
      <c r="B206" s="328" t="s">
        <v>448</v>
      </c>
    </row>
    <row r="207" spans="2:2" ht="23.25" x14ac:dyDescent="0.35">
      <c r="B207" s="328" t="s">
        <v>449</v>
      </c>
    </row>
    <row r="208" spans="2:2" ht="23.25" x14ac:dyDescent="0.35">
      <c r="B208" s="328" t="s">
        <v>450</v>
      </c>
    </row>
    <row r="209" spans="2:2" ht="23.25" x14ac:dyDescent="0.35">
      <c r="B209" s="328" t="s">
        <v>451</v>
      </c>
    </row>
    <row r="210" spans="2:2" ht="23.25" x14ac:dyDescent="0.35">
      <c r="B210" s="328" t="s">
        <v>452</v>
      </c>
    </row>
    <row r="211" spans="2:2" ht="23.25" x14ac:dyDescent="0.35">
      <c r="B211" s="328" t="s">
        <v>453</v>
      </c>
    </row>
    <row r="212" spans="2:2" ht="23.25" x14ac:dyDescent="0.35">
      <c r="B212" s="328" t="s">
        <v>454</v>
      </c>
    </row>
    <row r="213" spans="2:2" ht="23.25" x14ac:dyDescent="0.35">
      <c r="B213" s="328" t="s">
        <v>455</v>
      </c>
    </row>
    <row r="214" spans="2:2" ht="23.25" x14ac:dyDescent="0.35">
      <c r="B214" s="328" t="s">
        <v>456</v>
      </c>
    </row>
    <row r="215" spans="2:2" ht="23.25" x14ac:dyDescent="0.35">
      <c r="B215" s="328" t="s">
        <v>457</v>
      </c>
    </row>
    <row r="216" spans="2:2" ht="23.25" x14ac:dyDescent="0.35">
      <c r="B216" s="328" t="s">
        <v>458</v>
      </c>
    </row>
    <row r="217" spans="2:2" ht="23.25" x14ac:dyDescent="0.35">
      <c r="B217" s="328" t="s">
        <v>459</v>
      </c>
    </row>
    <row r="218" spans="2:2" ht="23.25" x14ac:dyDescent="0.35">
      <c r="B218" s="328" t="s">
        <v>460</v>
      </c>
    </row>
    <row r="219" spans="2:2" ht="23.25" x14ac:dyDescent="0.35">
      <c r="B219" s="328" t="s">
        <v>461</v>
      </c>
    </row>
    <row r="220" spans="2:2" ht="23.25" x14ac:dyDescent="0.35">
      <c r="B220" s="328" t="s">
        <v>462</v>
      </c>
    </row>
    <row r="221" spans="2:2" ht="23.25" x14ac:dyDescent="0.35">
      <c r="B221" s="328" t="s">
        <v>463</v>
      </c>
    </row>
    <row r="222" spans="2:2" ht="23.25" x14ac:dyDescent="0.35">
      <c r="B222" s="328" t="s">
        <v>464</v>
      </c>
    </row>
    <row r="223" spans="2:2" ht="23.25" x14ac:dyDescent="0.35">
      <c r="B223" s="328" t="s">
        <v>465</v>
      </c>
    </row>
    <row r="224" spans="2:2" ht="23.25" x14ac:dyDescent="0.35">
      <c r="B224" s="328" t="s">
        <v>466</v>
      </c>
    </row>
    <row r="225" spans="2:2" ht="23.25" x14ac:dyDescent="0.35">
      <c r="B225" s="328" t="s">
        <v>467</v>
      </c>
    </row>
    <row r="226" spans="2:2" ht="23.25" x14ac:dyDescent="0.35">
      <c r="B226" s="328" t="s">
        <v>468</v>
      </c>
    </row>
    <row r="227" spans="2:2" ht="23.25" x14ac:dyDescent="0.35">
      <c r="B227" s="328" t="s">
        <v>469</v>
      </c>
    </row>
    <row r="228" spans="2:2" ht="23.25" x14ac:dyDescent="0.35">
      <c r="B228" s="328" t="s">
        <v>470</v>
      </c>
    </row>
    <row r="229" spans="2:2" ht="23.25" x14ac:dyDescent="0.35">
      <c r="B229" s="328" t="s">
        <v>471</v>
      </c>
    </row>
    <row r="230" spans="2:2" ht="23.25" x14ac:dyDescent="0.35">
      <c r="B230" s="328" t="s">
        <v>472</v>
      </c>
    </row>
    <row r="231" spans="2:2" ht="23.25" x14ac:dyDescent="0.35">
      <c r="B231" s="328" t="s">
        <v>473</v>
      </c>
    </row>
    <row r="232" spans="2:2" ht="23.25" x14ac:dyDescent="0.35">
      <c r="B232" s="328" t="s">
        <v>474</v>
      </c>
    </row>
    <row r="233" spans="2:2" ht="23.25" x14ac:dyDescent="0.35">
      <c r="B233" s="328" t="s">
        <v>475</v>
      </c>
    </row>
    <row r="234" spans="2:2" ht="23.25" x14ac:dyDescent="0.35">
      <c r="B234" s="328" t="s">
        <v>476</v>
      </c>
    </row>
    <row r="235" spans="2:2" ht="23.25" x14ac:dyDescent="0.35">
      <c r="B235" s="328" t="s">
        <v>477</v>
      </c>
    </row>
    <row r="236" spans="2:2" ht="23.25" x14ac:dyDescent="0.35">
      <c r="B236" s="328" t="s">
        <v>478</v>
      </c>
    </row>
    <row r="237" spans="2:2" ht="23.25" x14ac:dyDescent="0.35">
      <c r="B237" s="328" t="s">
        <v>479</v>
      </c>
    </row>
    <row r="238" spans="2:2" ht="23.25" x14ac:dyDescent="0.35">
      <c r="B238" s="328" t="s">
        <v>480</v>
      </c>
    </row>
    <row r="239" spans="2:2" ht="23.25" x14ac:dyDescent="0.35">
      <c r="B239" s="328" t="s">
        <v>481</v>
      </c>
    </row>
    <row r="240" spans="2:2" ht="23.25" x14ac:dyDescent="0.35">
      <c r="B240" s="328" t="s">
        <v>482</v>
      </c>
    </row>
    <row r="241" spans="2:2" ht="23.25" x14ac:dyDescent="0.35">
      <c r="B241" s="328" t="s">
        <v>482</v>
      </c>
    </row>
  </sheetData>
  <mergeCells count="1">
    <mergeCell ref="B1:E1"/>
  </mergeCells>
  <hyperlinks>
    <hyperlink ref="B3" r:id="rId1"/>
    <hyperlink ref="J12" r:id="rId2"/>
    <hyperlink ref="F14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0"/>
  <sheetViews>
    <sheetView showGridLines="0" topLeftCell="A40" zoomScale="85" zoomScaleNormal="85" workbookViewId="0">
      <selection activeCell="F57" sqref="F57"/>
    </sheetView>
  </sheetViews>
  <sheetFormatPr baseColWidth="10" defaultRowHeight="15" x14ac:dyDescent="0.25"/>
  <cols>
    <col min="1" max="2" width="5.85546875" customWidth="1"/>
    <col min="3" max="3" width="34" customWidth="1"/>
    <col min="4" max="4" width="17.140625" customWidth="1"/>
    <col min="6" max="6" width="15" style="170" customWidth="1"/>
    <col min="7" max="7" width="15.140625" style="171" customWidth="1"/>
    <col min="9" max="9" width="21.5703125" customWidth="1"/>
  </cols>
  <sheetData>
    <row r="1" spans="2:9" x14ac:dyDescent="0.25">
      <c r="E1" s="169"/>
    </row>
    <row r="2" spans="2:9" ht="20.25" x14ac:dyDescent="0.3">
      <c r="B2" s="337" t="s">
        <v>171</v>
      </c>
      <c r="C2" s="337"/>
      <c r="D2" s="337"/>
      <c r="E2" s="337"/>
      <c r="F2" s="337"/>
      <c r="G2" s="337"/>
      <c r="H2" s="337"/>
      <c r="I2" s="337"/>
    </row>
    <row r="3" spans="2:9" ht="20.25" x14ac:dyDescent="0.3">
      <c r="B3" s="172"/>
      <c r="C3" s="172" t="s">
        <v>125</v>
      </c>
      <c r="D3" s="172"/>
      <c r="E3" s="172"/>
      <c r="F3" s="172"/>
      <c r="G3" s="172"/>
      <c r="H3" s="172"/>
      <c r="I3" s="172"/>
    </row>
    <row r="5" spans="2:9" x14ac:dyDescent="0.25">
      <c r="C5" s="338" t="s">
        <v>126</v>
      </c>
      <c r="D5" s="339"/>
      <c r="E5" s="339"/>
      <c r="F5" s="339"/>
      <c r="G5" s="340"/>
      <c r="H5" s="307"/>
      <c r="I5" s="308"/>
    </row>
    <row r="6" spans="2:9" x14ac:dyDescent="0.25">
      <c r="C6" s="229" t="s">
        <v>77</v>
      </c>
      <c r="D6" s="230" t="s">
        <v>115</v>
      </c>
      <c r="E6" s="229" t="s">
        <v>116</v>
      </c>
      <c r="F6" s="225" t="s">
        <v>127</v>
      </c>
      <c r="G6" s="231" t="s">
        <v>128</v>
      </c>
      <c r="H6" s="31"/>
      <c r="I6" s="309" t="s">
        <v>181</v>
      </c>
    </row>
    <row r="7" spans="2:9" x14ac:dyDescent="0.25">
      <c r="C7" s="310" t="s">
        <v>172</v>
      </c>
      <c r="D7" s="174"/>
      <c r="E7" s="174"/>
      <c r="F7" s="175"/>
      <c r="G7" s="173">
        <f>SUM(G8:G10)</f>
        <v>1350</v>
      </c>
      <c r="H7" s="221"/>
      <c r="I7" s="311">
        <f>G7*25</f>
        <v>33750</v>
      </c>
    </row>
    <row r="8" spans="2:9" x14ac:dyDescent="0.25">
      <c r="C8" s="218" t="s">
        <v>182</v>
      </c>
      <c r="D8" s="219" t="s">
        <v>184</v>
      </c>
      <c r="E8" s="219">
        <v>1</v>
      </c>
      <c r="F8" s="232">
        <v>700</v>
      </c>
      <c r="G8" s="178">
        <f>+F8*E8</f>
        <v>700</v>
      </c>
      <c r="H8" s="31"/>
      <c r="I8" s="312"/>
    </row>
    <row r="9" spans="2:9" x14ac:dyDescent="0.25">
      <c r="C9" s="176" t="s">
        <v>183</v>
      </c>
      <c r="D9" s="177" t="s">
        <v>184</v>
      </c>
      <c r="E9" s="177">
        <v>1</v>
      </c>
      <c r="F9" s="179">
        <v>650</v>
      </c>
      <c r="G9" s="178">
        <f>+F9*E9</f>
        <v>650</v>
      </c>
      <c r="H9" s="31"/>
      <c r="I9" s="312"/>
    </row>
    <row r="10" spans="2:9" x14ac:dyDescent="0.25">
      <c r="C10" s="176"/>
      <c r="D10" s="177"/>
      <c r="E10" s="177"/>
      <c r="F10" s="179"/>
      <c r="G10" s="178">
        <f>+F10*E10</f>
        <v>0</v>
      </c>
      <c r="H10" s="31"/>
      <c r="I10" s="312"/>
    </row>
    <row r="11" spans="2:9" x14ac:dyDescent="0.25">
      <c r="C11" s="176"/>
      <c r="D11" s="176"/>
      <c r="E11" s="177"/>
      <c r="F11" s="179"/>
      <c r="G11" s="179"/>
      <c r="H11" s="31"/>
      <c r="I11" s="312"/>
    </row>
    <row r="12" spans="2:9" x14ac:dyDescent="0.25">
      <c r="C12" s="313" t="s">
        <v>129</v>
      </c>
      <c r="D12" s="222"/>
      <c r="E12" s="223"/>
      <c r="F12" s="224"/>
      <c r="G12" s="225">
        <f>G13+G15+G19+G24+G29+G33</f>
        <v>8188</v>
      </c>
      <c r="H12" s="31"/>
      <c r="I12" s="312"/>
    </row>
    <row r="13" spans="2:9" x14ac:dyDescent="0.25">
      <c r="C13" s="182" t="s">
        <v>147</v>
      </c>
      <c r="D13" s="176" t="s">
        <v>233</v>
      </c>
      <c r="E13" s="177">
        <v>1</v>
      </c>
      <c r="F13" s="179">
        <v>1500</v>
      </c>
      <c r="G13" s="214">
        <f>E13*F13</f>
        <v>1500</v>
      </c>
      <c r="H13" s="221"/>
      <c r="I13" s="314">
        <f>G13*25</f>
        <v>37500</v>
      </c>
    </row>
    <row r="14" spans="2:9" x14ac:dyDescent="0.25">
      <c r="C14" s="315"/>
      <c r="D14" s="226"/>
      <c r="E14" s="227"/>
      <c r="F14" s="228"/>
      <c r="G14" s="228"/>
      <c r="H14" s="31"/>
      <c r="I14" s="316"/>
    </row>
    <row r="15" spans="2:9" x14ac:dyDescent="0.25">
      <c r="C15" s="182" t="s">
        <v>148</v>
      </c>
      <c r="D15" s="182"/>
      <c r="E15" s="213"/>
      <c r="F15" s="214"/>
      <c r="G15" s="214">
        <f>SUM(G16:G17)</f>
        <v>365</v>
      </c>
      <c r="H15" s="221"/>
      <c r="I15" s="314">
        <f>G15*25</f>
        <v>9125</v>
      </c>
    </row>
    <row r="16" spans="2:9" x14ac:dyDescent="0.25">
      <c r="C16" s="218" t="s">
        <v>149</v>
      </c>
      <c r="D16" s="218" t="s">
        <v>151</v>
      </c>
      <c r="E16" s="219">
        <v>1</v>
      </c>
      <c r="F16" s="220">
        <v>195</v>
      </c>
      <c r="G16" s="220">
        <f t="shared" ref="G16:G38" si="0">E16*F16</f>
        <v>195</v>
      </c>
      <c r="H16" s="31"/>
      <c r="I16" s="312"/>
    </row>
    <row r="17" spans="3:9" x14ac:dyDescent="0.25">
      <c r="C17" s="176" t="s">
        <v>150</v>
      </c>
      <c r="D17" s="176" t="s">
        <v>151</v>
      </c>
      <c r="E17" s="177">
        <v>1</v>
      </c>
      <c r="F17" s="179">
        <v>170</v>
      </c>
      <c r="G17" s="179">
        <f t="shared" si="0"/>
        <v>170</v>
      </c>
      <c r="H17" s="31"/>
      <c r="I17" s="312"/>
    </row>
    <row r="18" spans="3:9" x14ac:dyDescent="0.25">
      <c r="C18" s="215"/>
      <c r="D18" s="215"/>
      <c r="E18" s="216"/>
      <c r="F18" s="217"/>
      <c r="G18" s="217"/>
      <c r="H18" s="31"/>
      <c r="I18" s="312"/>
    </row>
    <row r="19" spans="3:9" x14ac:dyDescent="0.25">
      <c r="C19" s="182" t="s">
        <v>152</v>
      </c>
      <c r="D19" s="176"/>
      <c r="E19" s="177"/>
      <c r="F19" s="179"/>
      <c r="G19" s="214">
        <f>SUM(G20:G22)</f>
        <v>944</v>
      </c>
      <c r="H19" s="221"/>
      <c r="I19" s="314">
        <f>G19*25</f>
        <v>23600</v>
      </c>
    </row>
    <row r="20" spans="3:9" x14ac:dyDescent="0.25">
      <c r="C20" s="218" t="s">
        <v>153</v>
      </c>
      <c r="D20" s="218" t="s">
        <v>130</v>
      </c>
      <c r="E20" s="219">
        <v>1</v>
      </c>
      <c r="F20" s="220">
        <v>390</v>
      </c>
      <c r="G20" s="220">
        <f t="shared" si="0"/>
        <v>390</v>
      </c>
      <c r="H20" s="31"/>
      <c r="I20" s="312"/>
    </row>
    <row r="21" spans="3:9" x14ac:dyDescent="0.25">
      <c r="C21" s="176" t="s">
        <v>154</v>
      </c>
      <c r="D21" s="176" t="s">
        <v>130</v>
      </c>
      <c r="E21" s="177">
        <v>1</v>
      </c>
      <c r="F21" s="179">
        <v>168</v>
      </c>
      <c r="G21" s="179">
        <f t="shared" si="0"/>
        <v>168</v>
      </c>
      <c r="H21" s="31"/>
      <c r="I21" s="312"/>
    </row>
    <row r="22" spans="3:9" x14ac:dyDescent="0.25">
      <c r="C22" s="176" t="s">
        <v>155</v>
      </c>
      <c r="D22" s="176" t="s">
        <v>130</v>
      </c>
      <c r="E22" s="177">
        <v>1</v>
      </c>
      <c r="F22" s="179">
        <v>386</v>
      </c>
      <c r="G22" s="179">
        <f t="shared" si="0"/>
        <v>386</v>
      </c>
      <c r="H22" s="31"/>
      <c r="I22" s="312"/>
    </row>
    <row r="23" spans="3:9" x14ac:dyDescent="0.25">
      <c r="C23" s="215"/>
      <c r="D23" s="215"/>
      <c r="E23" s="216"/>
      <c r="F23" s="217"/>
      <c r="G23" s="217"/>
      <c r="H23" s="31"/>
      <c r="I23" s="312"/>
    </row>
    <row r="24" spans="3:9" x14ac:dyDescent="0.25">
      <c r="C24" s="182" t="s">
        <v>156</v>
      </c>
      <c r="D24" s="176"/>
      <c r="E24" s="177"/>
      <c r="F24" s="179"/>
      <c r="G24" s="214">
        <f>SUM(G25:G27)</f>
        <v>727</v>
      </c>
      <c r="H24" s="221"/>
      <c r="I24" s="314">
        <f>G24*25</f>
        <v>18175</v>
      </c>
    </row>
    <row r="25" spans="3:9" x14ac:dyDescent="0.25">
      <c r="C25" s="218" t="s">
        <v>157</v>
      </c>
      <c r="D25" s="218" t="s">
        <v>130</v>
      </c>
      <c r="E25" s="219">
        <v>1</v>
      </c>
      <c r="F25" s="220">
        <v>132</v>
      </c>
      <c r="G25" s="220">
        <f t="shared" si="0"/>
        <v>132</v>
      </c>
      <c r="H25" s="31"/>
      <c r="I25" s="312"/>
    </row>
    <row r="26" spans="3:9" x14ac:dyDescent="0.25">
      <c r="C26" s="176" t="s">
        <v>158</v>
      </c>
      <c r="D26" s="176" t="s">
        <v>151</v>
      </c>
      <c r="E26" s="177">
        <v>1</v>
      </c>
      <c r="F26" s="179">
        <v>135</v>
      </c>
      <c r="G26" s="179">
        <f t="shared" si="0"/>
        <v>135</v>
      </c>
      <c r="H26" s="31"/>
      <c r="I26" s="312"/>
    </row>
    <row r="27" spans="3:9" x14ac:dyDescent="0.25">
      <c r="C27" s="176" t="s">
        <v>159</v>
      </c>
      <c r="D27" s="176" t="s">
        <v>151</v>
      </c>
      <c r="E27" s="177">
        <v>1</v>
      </c>
      <c r="F27" s="179">
        <v>460</v>
      </c>
      <c r="G27" s="179">
        <f t="shared" si="0"/>
        <v>460</v>
      </c>
      <c r="H27" s="31"/>
      <c r="I27" s="312"/>
    </row>
    <row r="28" spans="3:9" x14ac:dyDescent="0.25">
      <c r="C28" s="215"/>
      <c r="D28" s="215"/>
      <c r="E28" s="216"/>
      <c r="F28" s="217"/>
      <c r="G28" s="217"/>
      <c r="H28" s="31"/>
      <c r="I28" s="312"/>
    </row>
    <row r="29" spans="3:9" x14ac:dyDescent="0.25">
      <c r="C29" s="182" t="s">
        <v>160</v>
      </c>
      <c r="D29" s="176"/>
      <c r="E29" s="177"/>
      <c r="F29" s="179"/>
      <c r="G29" s="214">
        <f>SUM(G30:G31)</f>
        <v>722</v>
      </c>
      <c r="H29" s="221"/>
      <c r="I29" s="314">
        <f>G29*25</f>
        <v>18050</v>
      </c>
    </row>
    <row r="30" spans="3:9" x14ac:dyDescent="0.25">
      <c r="C30" s="218" t="s">
        <v>161</v>
      </c>
      <c r="D30" s="218" t="s">
        <v>151</v>
      </c>
      <c r="E30" s="219">
        <v>3</v>
      </c>
      <c r="F30" s="220">
        <v>110</v>
      </c>
      <c r="G30" s="220">
        <f t="shared" si="0"/>
        <v>330</v>
      </c>
      <c r="H30" s="31"/>
      <c r="I30" s="312"/>
    </row>
    <row r="31" spans="3:9" x14ac:dyDescent="0.25">
      <c r="C31" s="176" t="s">
        <v>162</v>
      </c>
      <c r="D31" s="176" t="s">
        <v>151</v>
      </c>
      <c r="E31" s="177">
        <v>4</v>
      </c>
      <c r="F31" s="179">
        <v>98</v>
      </c>
      <c r="G31" s="179">
        <f t="shared" si="0"/>
        <v>392</v>
      </c>
      <c r="H31" s="31"/>
      <c r="I31" s="312"/>
    </row>
    <row r="32" spans="3:9" x14ac:dyDescent="0.25">
      <c r="C32" s="215"/>
      <c r="D32" s="215"/>
      <c r="E32" s="216"/>
      <c r="F32" s="217"/>
      <c r="G32" s="217"/>
      <c r="H32" s="31"/>
      <c r="I32" s="312"/>
    </row>
    <row r="33" spans="3:9" x14ac:dyDescent="0.25">
      <c r="C33" s="182" t="s">
        <v>163</v>
      </c>
      <c r="D33" s="176"/>
      <c r="E33" s="177"/>
      <c r="F33" s="179"/>
      <c r="G33" s="214">
        <f>SUM(G34:G38)</f>
        <v>3930</v>
      </c>
      <c r="H33" s="221"/>
      <c r="I33" s="314">
        <f>G33*25</f>
        <v>98250</v>
      </c>
    </row>
    <row r="34" spans="3:9" x14ac:dyDescent="0.25">
      <c r="C34" s="218" t="s">
        <v>164</v>
      </c>
      <c r="D34" s="218" t="s">
        <v>169</v>
      </c>
      <c r="E34" s="219">
        <v>4</v>
      </c>
      <c r="F34" s="220">
        <v>450</v>
      </c>
      <c r="G34" s="220">
        <f t="shared" si="0"/>
        <v>1800</v>
      </c>
      <c r="H34" s="31"/>
      <c r="I34" s="312"/>
    </row>
    <row r="35" spans="3:9" x14ac:dyDescent="0.25">
      <c r="C35" s="176" t="s">
        <v>165</v>
      </c>
      <c r="D35" s="176" t="s">
        <v>169</v>
      </c>
      <c r="E35" s="177">
        <v>2</v>
      </c>
      <c r="F35" s="179">
        <v>600</v>
      </c>
      <c r="G35" s="179">
        <f t="shared" si="0"/>
        <v>1200</v>
      </c>
      <c r="H35" s="31"/>
      <c r="I35" s="312"/>
    </row>
    <row r="36" spans="3:9" x14ac:dyDescent="0.25">
      <c r="C36" s="176" t="s">
        <v>166</v>
      </c>
      <c r="D36" s="176" t="s">
        <v>169</v>
      </c>
      <c r="E36" s="177">
        <v>1</v>
      </c>
      <c r="F36" s="179">
        <v>600</v>
      </c>
      <c r="G36" s="179">
        <f t="shared" si="0"/>
        <v>600</v>
      </c>
      <c r="H36" s="31"/>
      <c r="I36" s="312"/>
    </row>
    <row r="37" spans="3:9" x14ac:dyDescent="0.25">
      <c r="C37" s="176" t="s">
        <v>167</v>
      </c>
      <c r="D37" s="176" t="s">
        <v>170</v>
      </c>
      <c r="E37" s="177">
        <v>1</v>
      </c>
      <c r="F37" s="179">
        <v>150</v>
      </c>
      <c r="G37" s="179">
        <f t="shared" si="0"/>
        <v>150</v>
      </c>
      <c r="H37" s="31"/>
      <c r="I37" s="312"/>
    </row>
    <row r="38" spans="3:9" x14ac:dyDescent="0.25">
      <c r="C38" s="176" t="s">
        <v>168</v>
      </c>
      <c r="D38" s="176" t="s">
        <v>151</v>
      </c>
      <c r="E38" s="177">
        <v>2</v>
      </c>
      <c r="F38" s="179">
        <v>90</v>
      </c>
      <c r="G38" s="179">
        <f t="shared" si="0"/>
        <v>180</v>
      </c>
      <c r="H38" s="31"/>
      <c r="I38" s="312"/>
    </row>
    <row r="39" spans="3:9" x14ac:dyDescent="0.25">
      <c r="C39" s="176"/>
      <c r="D39" s="176"/>
      <c r="E39" s="177"/>
      <c r="F39" s="179"/>
      <c r="G39" s="179">
        <f>E39*F39</f>
        <v>0</v>
      </c>
      <c r="H39" s="31"/>
      <c r="I39" s="312"/>
    </row>
    <row r="40" spans="3:9" x14ac:dyDescent="0.25">
      <c r="C40" s="215"/>
      <c r="D40" s="215"/>
      <c r="E40" s="216"/>
      <c r="F40" s="217"/>
      <c r="G40" s="217">
        <f>E40*F40</f>
        <v>0</v>
      </c>
      <c r="H40" s="31"/>
      <c r="I40" s="312"/>
    </row>
    <row r="41" spans="3:9" x14ac:dyDescent="0.25">
      <c r="C41" s="310" t="s">
        <v>173</v>
      </c>
      <c r="D41" s="180"/>
      <c r="E41" s="181"/>
      <c r="F41" s="175"/>
      <c r="G41" s="173">
        <f>SUM(G42:G45)</f>
        <v>4500</v>
      </c>
      <c r="H41" s="221"/>
      <c r="I41" s="314">
        <f>G41*25</f>
        <v>112500</v>
      </c>
    </row>
    <row r="42" spans="3:9" x14ac:dyDescent="0.25">
      <c r="C42" s="317" t="s">
        <v>185</v>
      </c>
      <c r="D42" s="218" t="s">
        <v>123</v>
      </c>
      <c r="E42" s="219">
        <v>10</v>
      </c>
      <c r="F42" s="220">
        <v>150</v>
      </c>
      <c r="G42" s="220">
        <f>E42*F42</f>
        <v>1500</v>
      </c>
      <c r="H42" s="31"/>
      <c r="I42" s="312"/>
    </row>
    <row r="43" spans="3:9" x14ac:dyDescent="0.25">
      <c r="C43" s="318" t="s">
        <v>186</v>
      </c>
      <c r="D43" s="176" t="s">
        <v>123</v>
      </c>
      <c r="E43" s="177">
        <v>10</v>
      </c>
      <c r="F43" s="179">
        <v>150</v>
      </c>
      <c r="G43" s="179">
        <f t="shared" ref="G43:G44" si="1">E43*F43</f>
        <v>1500</v>
      </c>
      <c r="H43" s="31"/>
      <c r="I43" s="312"/>
    </row>
    <row r="44" spans="3:9" x14ac:dyDescent="0.25">
      <c r="C44" s="318" t="s">
        <v>187</v>
      </c>
      <c r="D44" s="176" t="s">
        <v>123</v>
      </c>
      <c r="E44" s="177">
        <v>10</v>
      </c>
      <c r="F44" s="179">
        <v>150</v>
      </c>
      <c r="G44" s="179">
        <f t="shared" si="1"/>
        <v>1500</v>
      </c>
      <c r="H44" s="31"/>
      <c r="I44" s="312"/>
    </row>
    <row r="45" spans="3:9" x14ac:dyDescent="0.25">
      <c r="C45" s="318"/>
      <c r="D45" s="176"/>
      <c r="E45" s="177"/>
      <c r="F45" s="179"/>
      <c r="G45" s="179"/>
      <c r="H45" s="31"/>
      <c r="I45" s="312"/>
    </row>
    <row r="46" spans="3:9" x14ac:dyDescent="0.25">
      <c r="C46" s="182"/>
      <c r="D46" s="176"/>
      <c r="E46" s="176"/>
      <c r="F46" s="179"/>
      <c r="G46" s="183"/>
      <c r="H46" s="31"/>
      <c r="I46" s="312"/>
    </row>
    <row r="47" spans="3:9" x14ac:dyDescent="0.25">
      <c r="C47" s="310" t="s">
        <v>128</v>
      </c>
      <c r="D47" s="180"/>
      <c r="E47" s="180"/>
      <c r="F47" s="175"/>
      <c r="G47" s="319">
        <f>G7+G13+G15+G19+G24+G29+G33+G41</f>
        <v>14038</v>
      </c>
      <c r="H47" s="319"/>
      <c r="I47" s="319">
        <f>I7+I13+I15+I19+I24+I29+I33+I41</f>
        <v>350950</v>
      </c>
    </row>
    <row r="48" spans="3:9" x14ac:dyDescent="0.25">
      <c r="C48" s="184"/>
      <c r="D48" s="184"/>
      <c r="E48" s="184"/>
      <c r="F48" s="185"/>
      <c r="G48" s="186"/>
    </row>
    <row r="49" spans="3:8" ht="15.75" thickBot="1" x14ac:dyDescent="0.3">
      <c r="C49" s="130" t="s">
        <v>12</v>
      </c>
      <c r="D49" s="130"/>
      <c r="E49" s="130"/>
      <c r="F49" s="188"/>
      <c r="G49" s="189"/>
    </row>
    <row r="50" spans="3:8" x14ac:dyDescent="0.25">
      <c r="C50" s="243" t="s">
        <v>97</v>
      </c>
      <c r="D50" s="244" t="s">
        <v>106</v>
      </c>
      <c r="E50" s="245" t="s">
        <v>133</v>
      </c>
      <c r="F50" s="246" t="s">
        <v>134</v>
      </c>
      <c r="G50" s="247" t="s">
        <v>131</v>
      </c>
      <c r="H50" s="247" t="s">
        <v>179</v>
      </c>
    </row>
    <row r="51" spans="3:8" x14ac:dyDescent="0.25">
      <c r="C51" s="239" t="s">
        <v>174</v>
      </c>
      <c r="D51" s="3">
        <v>1</v>
      </c>
      <c r="E51" s="4">
        <v>200</v>
      </c>
      <c r="F51" s="190">
        <v>24</v>
      </c>
      <c r="G51" s="187">
        <f>F51*E51*D51</f>
        <v>4800</v>
      </c>
      <c r="H51" s="248">
        <f>G51*12</f>
        <v>57600</v>
      </c>
    </row>
    <row r="52" spans="3:8" x14ac:dyDescent="0.25">
      <c r="C52" s="239" t="s">
        <v>228</v>
      </c>
      <c r="D52" s="3">
        <v>8</v>
      </c>
      <c r="E52" s="4">
        <v>150</v>
      </c>
      <c r="F52" s="190">
        <v>24</v>
      </c>
      <c r="G52" s="187">
        <f>F52*E52*D52</f>
        <v>28800</v>
      </c>
      <c r="H52" s="248">
        <f>G52*12</f>
        <v>345600</v>
      </c>
    </row>
    <row r="53" spans="3:8" x14ac:dyDescent="0.25">
      <c r="C53" s="239" t="s">
        <v>14</v>
      </c>
      <c r="D53" s="3">
        <v>1</v>
      </c>
      <c r="E53" s="4">
        <v>1500</v>
      </c>
      <c r="F53" s="190">
        <v>1</v>
      </c>
      <c r="G53" s="187">
        <f t="shared" ref="G53:G55" si="2">F53*E53*D53</f>
        <v>1500</v>
      </c>
      <c r="H53" s="248">
        <f t="shared" ref="H53:H55" si="3">G53*12</f>
        <v>18000</v>
      </c>
    </row>
    <row r="54" spans="3:8" x14ac:dyDescent="0.25">
      <c r="C54" s="239" t="s">
        <v>16</v>
      </c>
      <c r="D54" s="3">
        <v>1</v>
      </c>
      <c r="E54" s="4">
        <v>1000</v>
      </c>
      <c r="F54" s="190">
        <v>1</v>
      </c>
      <c r="G54" s="187">
        <f t="shared" si="2"/>
        <v>1000</v>
      </c>
      <c r="H54" s="248">
        <f t="shared" si="3"/>
        <v>12000</v>
      </c>
    </row>
    <row r="55" spans="3:8" ht="15.75" thickBot="1" x14ac:dyDescent="0.3">
      <c r="C55" s="241" t="s">
        <v>175</v>
      </c>
      <c r="D55" s="249">
        <v>1</v>
      </c>
      <c r="E55" s="293">
        <v>130</v>
      </c>
      <c r="F55" s="250">
        <v>24</v>
      </c>
      <c r="G55" s="251">
        <f t="shared" si="2"/>
        <v>3120</v>
      </c>
      <c r="H55" s="252">
        <f t="shared" si="3"/>
        <v>37440</v>
      </c>
    </row>
    <row r="57" spans="3:8" ht="15.75" thickBot="1" x14ac:dyDescent="0.3"/>
    <row r="58" spans="3:8" x14ac:dyDescent="0.25">
      <c r="C58" s="237" t="s">
        <v>132</v>
      </c>
      <c r="D58" s="238">
        <v>2100</v>
      </c>
    </row>
    <row r="59" spans="3:8" x14ac:dyDescent="0.25">
      <c r="C59" s="239" t="s">
        <v>176</v>
      </c>
      <c r="D59" s="240">
        <v>12</v>
      </c>
    </row>
    <row r="60" spans="3:8" ht="15.75" thickBot="1" x14ac:dyDescent="0.3">
      <c r="C60" s="241" t="s">
        <v>231</v>
      </c>
      <c r="D60" s="242">
        <v>25</v>
      </c>
    </row>
  </sheetData>
  <mergeCells count="2">
    <mergeCell ref="B2:I2"/>
    <mergeCell ref="C5:G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8"/>
  <sheetViews>
    <sheetView showGridLines="0" workbookViewId="0">
      <selection activeCell="D10" sqref="D10"/>
    </sheetView>
  </sheetViews>
  <sheetFormatPr baseColWidth="10" defaultRowHeight="15" x14ac:dyDescent="0.25"/>
  <cols>
    <col min="1" max="1" width="5.7109375" customWidth="1"/>
    <col min="2" max="2" width="24" bestFit="1" customWidth="1"/>
    <col min="3" max="3" width="16.28515625" customWidth="1"/>
    <col min="4" max="4" width="14.85546875" customWidth="1"/>
    <col min="5" max="5" width="15.140625" customWidth="1"/>
    <col min="6" max="6" width="15.5703125" customWidth="1"/>
    <col min="7" max="7" width="15.85546875" customWidth="1"/>
    <col min="8" max="8" width="16.140625" customWidth="1"/>
    <col min="9" max="9" width="16.28515625" customWidth="1"/>
    <col min="10" max="10" width="16.5703125" customWidth="1"/>
    <col min="11" max="11" width="16.140625" customWidth="1"/>
    <col min="12" max="12" width="18.140625" customWidth="1"/>
    <col min="13" max="13" width="16.140625" customWidth="1"/>
    <col min="14" max="14" width="15.7109375" customWidth="1"/>
    <col min="15" max="15" width="16.85546875" customWidth="1"/>
  </cols>
  <sheetData>
    <row r="2" spans="2:15" ht="18.75" x14ac:dyDescent="0.3">
      <c r="C2" s="5" t="s">
        <v>232</v>
      </c>
    </row>
    <row r="3" spans="2:15" ht="15.75" thickBot="1" x14ac:dyDescent="0.3"/>
    <row r="4" spans="2:15" x14ac:dyDescent="0.25">
      <c r="B4" s="324" t="s">
        <v>205</v>
      </c>
      <c r="C4" s="325" t="s">
        <v>206</v>
      </c>
      <c r="D4" s="325" t="s">
        <v>207</v>
      </c>
      <c r="E4" s="325" t="s">
        <v>208</v>
      </c>
      <c r="F4" s="325" t="s">
        <v>209</v>
      </c>
      <c r="G4" s="325" t="s">
        <v>210</v>
      </c>
      <c r="H4" s="325" t="s">
        <v>211</v>
      </c>
      <c r="I4" s="325" t="s">
        <v>212</v>
      </c>
      <c r="J4" s="325" t="s">
        <v>213</v>
      </c>
      <c r="K4" s="325" t="s">
        <v>214</v>
      </c>
      <c r="L4" s="325" t="s">
        <v>215</v>
      </c>
      <c r="M4" s="325" t="s">
        <v>216</v>
      </c>
      <c r="N4" s="325" t="s">
        <v>217</v>
      </c>
      <c r="O4" s="326" t="s">
        <v>11</v>
      </c>
    </row>
    <row r="5" spans="2:15" x14ac:dyDescent="0.25">
      <c r="B5" s="302" t="s">
        <v>222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63"/>
    </row>
    <row r="6" spans="2:15" x14ac:dyDescent="0.25">
      <c r="B6" s="124" t="s">
        <v>218</v>
      </c>
      <c r="C6" s="3">
        <v>11000</v>
      </c>
      <c r="D6" s="3">
        <f>C6</f>
        <v>11000</v>
      </c>
      <c r="E6" s="3">
        <f t="shared" ref="E6:N6" si="0">D6</f>
        <v>11000</v>
      </c>
      <c r="F6" s="3">
        <f t="shared" si="0"/>
        <v>11000</v>
      </c>
      <c r="G6" s="3">
        <f t="shared" si="0"/>
        <v>11000</v>
      </c>
      <c r="H6" s="3">
        <f t="shared" si="0"/>
        <v>11000</v>
      </c>
      <c r="I6" s="3">
        <f t="shared" si="0"/>
        <v>11000</v>
      </c>
      <c r="J6" s="3">
        <f t="shared" si="0"/>
        <v>11000</v>
      </c>
      <c r="K6" s="3">
        <f t="shared" si="0"/>
        <v>11000</v>
      </c>
      <c r="L6" s="3">
        <f t="shared" si="0"/>
        <v>11000</v>
      </c>
      <c r="M6" s="3">
        <f t="shared" si="0"/>
        <v>11000</v>
      </c>
      <c r="N6" s="3">
        <f t="shared" si="0"/>
        <v>11000</v>
      </c>
      <c r="O6" s="63">
        <f>SUM(C6:N6)</f>
        <v>132000</v>
      </c>
    </row>
    <row r="7" spans="2:15" x14ac:dyDescent="0.25">
      <c r="B7" s="124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63">
        <f t="shared" ref="O7:O14" si="1">SUM(C7:N7)</f>
        <v>0</v>
      </c>
    </row>
    <row r="8" spans="2:15" x14ac:dyDescent="0.25">
      <c r="B8" s="124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63"/>
    </row>
    <row r="9" spans="2:15" x14ac:dyDescent="0.25">
      <c r="B9" s="302" t="s">
        <v>219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63"/>
    </row>
    <row r="10" spans="2:15" x14ac:dyDescent="0.25">
      <c r="B10" s="124" t="str">
        <f>B6</f>
        <v>Frijol</v>
      </c>
      <c r="C10" s="303">
        <v>6</v>
      </c>
      <c r="D10" s="303">
        <f t="shared" ref="D10:N10" si="2">C10</f>
        <v>6</v>
      </c>
      <c r="E10" s="303">
        <f t="shared" si="2"/>
        <v>6</v>
      </c>
      <c r="F10" s="303">
        <f t="shared" si="2"/>
        <v>6</v>
      </c>
      <c r="G10" s="303">
        <f t="shared" si="2"/>
        <v>6</v>
      </c>
      <c r="H10" s="303">
        <f t="shared" si="2"/>
        <v>6</v>
      </c>
      <c r="I10" s="303">
        <f t="shared" si="2"/>
        <v>6</v>
      </c>
      <c r="J10" s="303">
        <f t="shared" si="2"/>
        <v>6</v>
      </c>
      <c r="K10" s="303">
        <f t="shared" si="2"/>
        <v>6</v>
      </c>
      <c r="L10" s="303">
        <f t="shared" si="2"/>
        <v>6</v>
      </c>
      <c r="M10" s="303">
        <f t="shared" si="2"/>
        <v>6</v>
      </c>
      <c r="N10" s="303">
        <f t="shared" si="2"/>
        <v>6</v>
      </c>
      <c r="O10" s="63">
        <f t="shared" si="1"/>
        <v>72</v>
      </c>
    </row>
    <row r="11" spans="2:15" x14ac:dyDescent="0.25">
      <c r="B11" s="124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63">
        <f t="shared" si="1"/>
        <v>0</v>
      </c>
    </row>
    <row r="12" spans="2:15" x14ac:dyDescent="0.25">
      <c r="B12" s="124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63"/>
    </row>
    <row r="13" spans="2:15" x14ac:dyDescent="0.25">
      <c r="B13" s="302" t="s">
        <v>220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63"/>
    </row>
    <row r="14" spans="2:15" x14ac:dyDescent="0.25">
      <c r="B14" s="124" t="str">
        <f>B10</f>
        <v>Frijol</v>
      </c>
      <c r="C14" s="3">
        <f t="shared" ref="C14:N14" si="3">C10*C6</f>
        <v>66000</v>
      </c>
      <c r="D14" s="3">
        <f t="shared" si="3"/>
        <v>66000</v>
      </c>
      <c r="E14" s="3">
        <f t="shared" si="3"/>
        <v>66000</v>
      </c>
      <c r="F14" s="3">
        <f t="shared" si="3"/>
        <v>66000</v>
      </c>
      <c r="G14" s="3">
        <f t="shared" si="3"/>
        <v>66000</v>
      </c>
      <c r="H14" s="3">
        <f t="shared" si="3"/>
        <v>66000</v>
      </c>
      <c r="I14" s="3">
        <f t="shared" si="3"/>
        <v>66000</v>
      </c>
      <c r="J14" s="3">
        <f t="shared" si="3"/>
        <v>66000</v>
      </c>
      <c r="K14" s="3">
        <f t="shared" si="3"/>
        <v>66000</v>
      </c>
      <c r="L14" s="3">
        <f t="shared" si="3"/>
        <v>66000</v>
      </c>
      <c r="M14" s="3">
        <f t="shared" si="3"/>
        <v>66000</v>
      </c>
      <c r="N14" s="3">
        <f t="shared" si="3"/>
        <v>66000</v>
      </c>
      <c r="O14" s="63">
        <f t="shared" si="1"/>
        <v>792000</v>
      </c>
    </row>
    <row r="15" spans="2:15" x14ac:dyDescent="0.25">
      <c r="B15" s="124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63"/>
    </row>
    <row r="16" spans="2:15" x14ac:dyDescent="0.25">
      <c r="B16" s="12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63"/>
    </row>
    <row r="17" spans="2:15" x14ac:dyDescent="0.25">
      <c r="B17" s="124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63"/>
    </row>
    <row r="18" spans="2:15" ht="15.75" thickBot="1" x14ac:dyDescent="0.3">
      <c r="B18" s="304" t="s">
        <v>221</v>
      </c>
      <c r="C18" s="305">
        <f t="shared" ref="C18:N18" si="4">SUM(C14:C16)</f>
        <v>66000</v>
      </c>
      <c r="D18" s="305">
        <f t="shared" si="4"/>
        <v>66000</v>
      </c>
      <c r="E18" s="305">
        <f t="shared" si="4"/>
        <v>66000</v>
      </c>
      <c r="F18" s="305">
        <f t="shared" si="4"/>
        <v>66000</v>
      </c>
      <c r="G18" s="305">
        <f t="shared" si="4"/>
        <v>66000</v>
      </c>
      <c r="H18" s="305">
        <f t="shared" si="4"/>
        <v>66000</v>
      </c>
      <c r="I18" s="305">
        <f t="shared" si="4"/>
        <v>66000</v>
      </c>
      <c r="J18" s="305">
        <f t="shared" si="4"/>
        <v>66000</v>
      </c>
      <c r="K18" s="305">
        <f t="shared" si="4"/>
        <v>66000</v>
      </c>
      <c r="L18" s="305">
        <f t="shared" si="4"/>
        <v>66000</v>
      </c>
      <c r="M18" s="305">
        <f t="shared" si="4"/>
        <v>66000</v>
      </c>
      <c r="N18" s="305">
        <f t="shared" si="4"/>
        <v>66000</v>
      </c>
      <c r="O18" s="306">
        <f>SUM(C18:N18)</f>
        <v>792000</v>
      </c>
    </row>
    <row r="22" spans="2:15" x14ac:dyDescent="0.25">
      <c r="C22" s="1"/>
    </row>
    <row r="23" spans="2:15" x14ac:dyDescent="0.25">
      <c r="C23" s="1"/>
    </row>
    <row r="25" spans="2:15" x14ac:dyDescent="0.25">
      <c r="C25" s="1"/>
    </row>
    <row r="28" spans="2:15" x14ac:dyDescent="0.25">
      <c r="C28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6"/>
  <sheetViews>
    <sheetView showGridLines="0" zoomScale="85" zoomScaleNormal="85" workbookViewId="0">
      <selection activeCell="L11" sqref="L11"/>
    </sheetView>
  </sheetViews>
  <sheetFormatPr baseColWidth="10" defaultRowHeight="15" x14ac:dyDescent="0.25"/>
  <cols>
    <col min="2" max="2" width="44.28515625" customWidth="1"/>
    <col min="3" max="3" width="16.85546875" customWidth="1"/>
    <col min="4" max="4" width="17.28515625" customWidth="1"/>
    <col min="5" max="5" width="17" customWidth="1"/>
    <col min="6" max="7" width="16.42578125" customWidth="1"/>
  </cols>
  <sheetData>
    <row r="2" spans="2:7" ht="26.25" x14ac:dyDescent="0.4">
      <c r="B2" s="233" t="str">
        <f>PaqueteTecn!B2</f>
        <v>Cultivo y Produccion de Frijol</v>
      </c>
    </row>
    <row r="3" spans="2:7" ht="19.5" thickBot="1" x14ac:dyDescent="0.35">
      <c r="C3" s="5" t="s">
        <v>17</v>
      </c>
    </row>
    <row r="4" spans="2:7" x14ac:dyDescent="0.25">
      <c r="B4" s="253" t="s">
        <v>23</v>
      </c>
      <c r="C4" s="254" t="s">
        <v>18</v>
      </c>
      <c r="D4" s="254" t="s">
        <v>19</v>
      </c>
      <c r="E4" s="254" t="s">
        <v>20</v>
      </c>
      <c r="F4" s="254" t="s">
        <v>21</v>
      </c>
      <c r="G4" s="255" t="s">
        <v>22</v>
      </c>
    </row>
    <row r="5" spans="2:7" x14ac:dyDescent="0.25">
      <c r="B5" s="256" t="s">
        <v>12</v>
      </c>
      <c r="C5" s="3"/>
      <c r="D5" s="3"/>
      <c r="E5" s="3"/>
      <c r="F5" s="3"/>
      <c r="G5" s="63"/>
    </row>
    <row r="6" spans="2:7" x14ac:dyDescent="0.25">
      <c r="B6" s="124" t="s">
        <v>178</v>
      </c>
      <c r="C6" s="4">
        <f>PaqueteTecn!G51*12</f>
        <v>57600</v>
      </c>
      <c r="D6" s="4">
        <f>C6*1.01</f>
        <v>58176</v>
      </c>
      <c r="E6" s="4">
        <f t="shared" ref="E6:G7" si="0">D6*1.01</f>
        <v>58757.760000000002</v>
      </c>
      <c r="F6" s="4">
        <f t="shared" si="0"/>
        <v>59345.337600000006</v>
      </c>
      <c r="G6" s="257">
        <f t="shared" si="0"/>
        <v>59938.790976000004</v>
      </c>
    </row>
    <row r="7" spans="2:7" x14ac:dyDescent="0.25">
      <c r="B7" s="124" t="str">
        <f>PaqueteTecn!C52</f>
        <v>Mano de obra acopio y envasado</v>
      </c>
      <c r="C7" s="4">
        <f>PaqueteTecn!G52*12</f>
        <v>345600</v>
      </c>
      <c r="D7" s="4">
        <f>C7*1.01</f>
        <v>349056</v>
      </c>
      <c r="E7" s="4">
        <f t="shared" si="0"/>
        <v>352546.56</v>
      </c>
      <c r="F7" s="4">
        <f t="shared" si="0"/>
        <v>356072.02559999999</v>
      </c>
      <c r="G7" s="4">
        <f t="shared" si="0"/>
        <v>359632.74585599999</v>
      </c>
    </row>
    <row r="8" spans="2:7" x14ac:dyDescent="0.25">
      <c r="B8" s="124" t="s">
        <v>14</v>
      </c>
      <c r="C8" s="4">
        <f>PaqueteTecn!G53*12</f>
        <v>18000</v>
      </c>
      <c r="D8" s="4">
        <f t="shared" ref="D8:G10" si="1">C8*1.01</f>
        <v>18180</v>
      </c>
      <c r="E8" s="4">
        <f t="shared" si="1"/>
        <v>18361.8</v>
      </c>
      <c r="F8" s="4">
        <f t="shared" si="1"/>
        <v>18545.417999999998</v>
      </c>
      <c r="G8" s="257">
        <f t="shared" si="1"/>
        <v>18730.872179999998</v>
      </c>
    </row>
    <row r="9" spans="2:7" x14ac:dyDescent="0.25">
      <c r="B9" s="124" t="s">
        <v>16</v>
      </c>
      <c r="C9" s="4">
        <f>PaqueteTecn!G54*12</f>
        <v>12000</v>
      </c>
      <c r="D9" s="4">
        <f t="shared" si="1"/>
        <v>12120</v>
      </c>
      <c r="E9" s="4">
        <f t="shared" si="1"/>
        <v>12241.2</v>
      </c>
      <c r="F9" s="4">
        <f t="shared" si="1"/>
        <v>12363.612000000001</v>
      </c>
      <c r="G9" s="257">
        <f t="shared" si="1"/>
        <v>12487.248120000002</v>
      </c>
    </row>
    <row r="10" spans="2:7" x14ac:dyDescent="0.25">
      <c r="B10" s="124" t="s">
        <v>177</v>
      </c>
      <c r="C10" s="4">
        <f>PaqueteTecn!G55*12</f>
        <v>37440</v>
      </c>
      <c r="D10" s="4">
        <f t="shared" si="1"/>
        <v>37814.400000000001</v>
      </c>
      <c r="E10" s="4">
        <f t="shared" si="1"/>
        <v>38192.544000000002</v>
      </c>
      <c r="F10" s="4">
        <f t="shared" si="1"/>
        <v>38574.469440000001</v>
      </c>
      <c r="G10" s="257">
        <f t="shared" si="1"/>
        <v>38960.214134400005</v>
      </c>
    </row>
    <row r="11" spans="2:7" x14ac:dyDescent="0.25">
      <c r="B11" s="258" t="s">
        <v>13</v>
      </c>
      <c r="C11" s="166">
        <f>SUM(C6:C10)</f>
        <v>470640</v>
      </c>
      <c r="D11" s="166">
        <f>SUM(D6:D10)</f>
        <v>475346.4</v>
      </c>
      <c r="E11" s="166">
        <f>SUM(E6:E10)</f>
        <v>480099.864</v>
      </c>
      <c r="F11" s="166">
        <f>SUM(F6:F10)</f>
        <v>484900.86264000006</v>
      </c>
      <c r="G11" s="259">
        <f>SUM(G6:G10)</f>
        <v>489749.87126640003</v>
      </c>
    </row>
    <row r="12" spans="2:7" x14ac:dyDescent="0.25">
      <c r="B12" s="124"/>
      <c r="C12" s="4"/>
      <c r="D12" s="4"/>
      <c r="E12" s="4"/>
      <c r="F12" s="4"/>
      <c r="G12" s="257"/>
    </row>
    <row r="13" spans="2:7" x14ac:dyDescent="0.25">
      <c r="B13" s="256" t="s">
        <v>15</v>
      </c>
      <c r="C13" s="4"/>
      <c r="D13" s="4"/>
      <c r="E13" s="4"/>
      <c r="F13" s="4"/>
      <c r="G13" s="257"/>
    </row>
    <row r="14" spans="2:7" x14ac:dyDescent="0.25">
      <c r="B14" s="260" t="str">
        <f>PaqueteTecn!C13</f>
        <v>Semilla frijol</v>
      </c>
      <c r="C14" s="4">
        <f>PaqueteTecn!G13*PaqueteTecn!D60</f>
        <v>37500</v>
      </c>
      <c r="D14" s="131">
        <f>C14*1.01</f>
        <v>37875</v>
      </c>
      <c r="E14" s="131">
        <f t="shared" ref="E14:G14" si="2">D14*1.01</f>
        <v>38253.75</v>
      </c>
      <c r="F14" s="131">
        <f t="shared" si="2"/>
        <v>38636.287499999999</v>
      </c>
      <c r="G14" s="261">
        <f t="shared" si="2"/>
        <v>39022.650374999997</v>
      </c>
    </row>
    <row r="15" spans="2:7" x14ac:dyDescent="0.25">
      <c r="B15" s="260" t="str">
        <f>PaqueteTecn!C15</f>
        <v>Insecticidas</v>
      </c>
      <c r="C15" s="4">
        <f>PaqueteTecn!G15*PaqueteTecn!D60</f>
        <v>9125</v>
      </c>
      <c r="D15" s="131">
        <f t="shared" ref="D15:G15" si="3">C15*1.01</f>
        <v>9216.25</v>
      </c>
      <c r="E15" s="131">
        <f t="shared" si="3"/>
        <v>9308.4125000000004</v>
      </c>
      <c r="F15" s="131">
        <f t="shared" si="3"/>
        <v>9401.4966249999998</v>
      </c>
      <c r="G15" s="261">
        <f t="shared" si="3"/>
        <v>9495.5115912500005</v>
      </c>
    </row>
    <row r="16" spans="2:7" x14ac:dyDescent="0.25">
      <c r="B16" s="260" t="str">
        <f>PaqueteTecn!C19</f>
        <v>Fungicidas</v>
      </c>
      <c r="C16" s="4">
        <f>PaqueteTecn!G19*PaqueteTecn!D60</f>
        <v>23600</v>
      </c>
      <c r="D16" s="131">
        <f t="shared" ref="D16:G16" si="4">C16*1.01</f>
        <v>23836</v>
      </c>
      <c r="E16" s="131">
        <f t="shared" si="4"/>
        <v>24074.36</v>
      </c>
      <c r="F16" s="131">
        <f t="shared" si="4"/>
        <v>24315.103600000002</v>
      </c>
      <c r="G16" s="261">
        <f t="shared" si="4"/>
        <v>24558.254636000001</v>
      </c>
    </row>
    <row r="17" spans="2:7" x14ac:dyDescent="0.25">
      <c r="B17" s="260" t="str">
        <f>PaqueteTecn!C24</f>
        <v>Fertilizantes foliares</v>
      </c>
      <c r="C17" s="4">
        <f>PaqueteTecn!G24*PaqueteTecn!D60</f>
        <v>18175</v>
      </c>
      <c r="D17" s="131">
        <f t="shared" ref="D17:G17" si="5">C17*1.01</f>
        <v>18356.75</v>
      </c>
      <c r="E17" s="131">
        <f t="shared" si="5"/>
        <v>18540.317500000001</v>
      </c>
      <c r="F17" s="131">
        <f t="shared" si="5"/>
        <v>18725.720675</v>
      </c>
      <c r="G17" s="261">
        <f t="shared" si="5"/>
        <v>18912.977881750001</v>
      </c>
    </row>
    <row r="18" spans="2:7" x14ac:dyDescent="0.25">
      <c r="B18" s="260" t="str">
        <f>PaqueteTecn!C29</f>
        <v>Herbicidas</v>
      </c>
      <c r="C18" s="4">
        <f>PaqueteTecn!G29*PaqueteTecn!D60</f>
        <v>18050</v>
      </c>
      <c r="D18" s="131">
        <f t="shared" ref="D18:G18" si="6">C18*1.01</f>
        <v>18230.5</v>
      </c>
      <c r="E18" s="131">
        <f t="shared" si="6"/>
        <v>18412.805</v>
      </c>
      <c r="F18" s="131">
        <f t="shared" si="6"/>
        <v>18596.93305</v>
      </c>
      <c r="G18" s="261">
        <f t="shared" si="6"/>
        <v>18782.9023805</v>
      </c>
    </row>
    <row r="19" spans="2:7" x14ac:dyDescent="0.25">
      <c r="B19" s="260" t="str">
        <f>PaqueteTecn!C33</f>
        <v>Fertilizantes edaficos</v>
      </c>
      <c r="C19" s="4">
        <f>PaqueteTecn!G33*PaqueteTecn!D60</f>
        <v>98250</v>
      </c>
      <c r="D19" s="131">
        <f t="shared" ref="D19:G19" si="7">C19*1.01</f>
        <v>99232.5</v>
      </c>
      <c r="E19" s="131">
        <f t="shared" si="7"/>
        <v>100224.825</v>
      </c>
      <c r="F19" s="131">
        <f t="shared" si="7"/>
        <v>101227.07325</v>
      </c>
      <c r="G19" s="261">
        <f t="shared" si="7"/>
        <v>102239.3439825</v>
      </c>
    </row>
    <row r="20" spans="2:7" x14ac:dyDescent="0.25">
      <c r="B20" s="260" t="str">
        <f>PaqueteTecn!C7</f>
        <v>Labores Agricolas</v>
      </c>
      <c r="C20" s="4">
        <f>PaqueteTecn!G7*PaqueteTecn!D60</f>
        <v>33750</v>
      </c>
      <c r="D20" s="131">
        <f t="shared" ref="D20:G20" si="8">C20*1.01</f>
        <v>34087.5</v>
      </c>
      <c r="E20" s="131">
        <f t="shared" si="8"/>
        <v>34428.375</v>
      </c>
      <c r="F20" s="131">
        <f t="shared" si="8"/>
        <v>34772.658750000002</v>
      </c>
      <c r="G20" s="261">
        <f t="shared" si="8"/>
        <v>35120.385337500004</v>
      </c>
    </row>
    <row r="21" spans="2:7" x14ac:dyDescent="0.25">
      <c r="B21" s="260" t="str">
        <f>PaqueteTecn!C41</f>
        <v>Mano de obra</v>
      </c>
      <c r="C21" s="4">
        <f>PaqueteTecn!G41*PaqueteTecn!D60</f>
        <v>112500</v>
      </c>
      <c r="D21" s="131">
        <f t="shared" ref="D21:G23" si="9">C21*1.01</f>
        <v>113625</v>
      </c>
      <c r="E21" s="131">
        <f t="shared" si="9"/>
        <v>114761.25</v>
      </c>
      <c r="F21" s="131">
        <f t="shared" si="9"/>
        <v>115908.8625</v>
      </c>
      <c r="G21" s="261">
        <f t="shared" si="9"/>
        <v>117067.95112500001</v>
      </c>
    </row>
    <row r="22" spans="2:7" x14ac:dyDescent="0.25">
      <c r="B22" s="262" t="s">
        <v>223</v>
      </c>
      <c r="C22" s="4">
        <f>Acopio!O14</f>
        <v>792000</v>
      </c>
      <c r="D22" s="131">
        <f t="shared" si="9"/>
        <v>799920</v>
      </c>
      <c r="E22" s="131">
        <f t="shared" ref="E22" si="10">D22*1.01</f>
        <v>807919.2</v>
      </c>
      <c r="F22" s="131">
        <f t="shared" ref="F22" si="11">E22*1.01</f>
        <v>815998.39199999999</v>
      </c>
      <c r="G22" s="131">
        <f t="shared" ref="G22" si="12">F22*1.01</f>
        <v>824158.37592000002</v>
      </c>
    </row>
    <row r="23" spans="2:7" x14ac:dyDescent="0.25">
      <c r="B23" s="124" t="s">
        <v>224</v>
      </c>
      <c r="C23" s="4">
        <f>((Acopio!O6+(PaqueteTecn!D60*PaqueteTecn!D58))/50)*1.5</f>
        <v>5535</v>
      </c>
      <c r="D23" s="131">
        <f t="shared" si="9"/>
        <v>5590.35</v>
      </c>
      <c r="E23" s="131">
        <f t="shared" si="9"/>
        <v>5646.2535000000007</v>
      </c>
      <c r="F23" s="131">
        <f t="shared" si="9"/>
        <v>5702.7160350000004</v>
      </c>
      <c r="G23" s="131">
        <f t="shared" si="9"/>
        <v>5759.7431953500009</v>
      </c>
    </row>
    <row r="24" spans="2:7" x14ac:dyDescent="0.25">
      <c r="B24" s="258" t="s">
        <v>13</v>
      </c>
      <c r="C24" s="166">
        <f>SUM(C14:C23)</f>
        <v>1148485</v>
      </c>
      <c r="D24" s="166">
        <f>SUM(D14:D23)</f>
        <v>1159969.8500000001</v>
      </c>
      <c r="E24" s="166">
        <f>SUM(E14:E23)</f>
        <v>1171569.5485</v>
      </c>
      <c r="F24" s="166">
        <f>SUM(F14:F23)</f>
        <v>1183285.2439850001</v>
      </c>
      <c r="G24" s="259">
        <f>SUM(G14:G23)</f>
        <v>1195118.0964248502</v>
      </c>
    </row>
    <row r="25" spans="2:7" x14ac:dyDescent="0.25">
      <c r="B25" s="124"/>
      <c r="C25" s="4"/>
      <c r="D25" s="4"/>
      <c r="E25" s="4"/>
      <c r="F25" s="4"/>
      <c r="G25" s="257"/>
    </row>
    <row r="26" spans="2:7" ht="16.5" thickBot="1" x14ac:dyDescent="0.3">
      <c r="B26" s="263" t="s">
        <v>128</v>
      </c>
      <c r="C26" s="264">
        <f>SUM(C24+C11)</f>
        <v>1619125</v>
      </c>
      <c r="D26" s="264">
        <f>SUM(D24+D11)</f>
        <v>1635316.25</v>
      </c>
      <c r="E26" s="264">
        <f>SUM(E24+E11)</f>
        <v>1651669.4125000001</v>
      </c>
      <c r="F26" s="264">
        <f>SUM(F24+F11)</f>
        <v>1668186.106625</v>
      </c>
      <c r="G26" s="265">
        <f>SUM(G24+G11)</f>
        <v>1684867.9676912501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4"/>
  <sheetViews>
    <sheetView showGridLines="0" workbookViewId="0">
      <selection activeCell="C7" sqref="C7"/>
    </sheetView>
  </sheetViews>
  <sheetFormatPr baseColWidth="10" defaultRowHeight="15" x14ac:dyDescent="0.25"/>
  <cols>
    <col min="1" max="1" width="4.85546875" customWidth="1"/>
    <col min="2" max="2" width="34.140625" customWidth="1"/>
    <col min="3" max="3" width="14.85546875" customWidth="1"/>
    <col min="4" max="7" width="13.28515625" bestFit="1" customWidth="1"/>
    <col min="8" max="10" width="11.5703125" bestFit="1" customWidth="1"/>
  </cols>
  <sheetData>
    <row r="1" spans="2:7" ht="23.25" x14ac:dyDescent="0.35">
      <c r="B1" s="234" t="str">
        <f>Costos!B2</f>
        <v>Cultivo y Produccion de Frijol</v>
      </c>
    </row>
    <row r="2" spans="2:7" ht="18.75" x14ac:dyDescent="0.3">
      <c r="C2" s="5" t="s">
        <v>25</v>
      </c>
    </row>
    <row r="4" spans="2:7" ht="15.75" thickBot="1" x14ac:dyDescent="0.3">
      <c r="C4" s="2" t="s">
        <v>136</v>
      </c>
    </row>
    <row r="5" spans="2:7" x14ac:dyDescent="0.25">
      <c r="B5" s="253" t="s">
        <v>24</v>
      </c>
      <c r="C5" s="266" t="s">
        <v>18</v>
      </c>
      <c r="D5" s="266" t="s">
        <v>19</v>
      </c>
      <c r="E5" s="266" t="s">
        <v>20</v>
      </c>
      <c r="F5" s="266" t="s">
        <v>21</v>
      </c>
      <c r="G5" s="267" t="s">
        <v>22</v>
      </c>
    </row>
    <row r="6" spans="2:7" x14ac:dyDescent="0.25">
      <c r="B6" s="268"/>
      <c r="C6" s="129"/>
      <c r="D6" s="129"/>
      <c r="E6" s="129"/>
      <c r="F6" s="129"/>
      <c r="G6" s="269"/>
    </row>
    <row r="7" spans="2:7" x14ac:dyDescent="0.25">
      <c r="B7" s="268" t="s">
        <v>135</v>
      </c>
      <c r="C7" s="272">
        <f>(PaqueteTecn!D58*PaqueteTecn!D60)+Acopio!O6</f>
        <v>184500</v>
      </c>
      <c r="D7" s="272">
        <f>C7*1.02</f>
        <v>188190</v>
      </c>
      <c r="E7" s="272">
        <f t="shared" ref="E7:G7" si="0">D7*1.02</f>
        <v>191953.80000000002</v>
      </c>
      <c r="F7" s="272">
        <f t="shared" si="0"/>
        <v>195792.87600000002</v>
      </c>
      <c r="G7" s="273">
        <f t="shared" si="0"/>
        <v>199708.73352000001</v>
      </c>
    </row>
    <row r="8" spans="2:7" x14ac:dyDescent="0.25">
      <c r="B8" s="268"/>
      <c r="C8" s="272"/>
      <c r="D8" s="272"/>
      <c r="E8" s="272"/>
      <c r="F8" s="272"/>
      <c r="G8" s="273"/>
    </row>
    <row r="9" spans="2:7" x14ac:dyDescent="0.25">
      <c r="B9" s="268" t="s">
        <v>225</v>
      </c>
      <c r="C9" s="272">
        <f>C7/50</f>
        <v>3690</v>
      </c>
      <c r="D9" s="272">
        <f>C9*1.02</f>
        <v>3763.8</v>
      </c>
      <c r="E9" s="272">
        <f>D9*1.02</f>
        <v>3839.0760000000005</v>
      </c>
      <c r="F9" s="272">
        <f>E9*1.02</f>
        <v>3915.8575200000005</v>
      </c>
      <c r="G9" s="272">
        <f>F9*1.02</f>
        <v>3994.1746704000007</v>
      </c>
    </row>
    <row r="10" spans="2:7" x14ac:dyDescent="0.25">
      <c r="B10" s="268"/>
      <c r="C10" s="272"/>
      <c r="D10" s="272"/>
      <c r="E10" s="272"/>
      <c r="F10" s="272"/>
      <c r="G10" s="273"/>
    </row>
    <row r="11" spans="2:7" x14ac:dyDescent="0.25">
      <c r="B11" s="268" t="s">
        <v>226</v>
      </c>
      <c r="C11" s="272">
        <f>50*PaqueteTecn!D59</f>
        <v>600</v>
      </c>
      <c r="D11" s="272">
        <f>C11*1.01</f>
        <v>606</v>
      </c>
      <c r="E11" s="272">
        <f t="shared" ref="E11:G11" si="1">D11*1.01</f>
        <v>612.06000000000006</v>
      </c>
      <c r="F11" s="272">
        <f t="shared" si="1"/>
        <v>618.18060000000003</v>
      </c>
      <c r="G11" s="273">
        <f t="shared" si="1"/>
        <v>624.36240600000008</v>
      </c>
    </row>
    <row r="12" spans="2:7" x14ac:dyDescent="0.25">
      <c r="B12" s="268"/>
      <c r="C12" s="134"/>
      <c r="D12" s="134"/>
      <c r="E12" s="129"/>
      <c r="F12" s="129"/>
      <c r="G12" s="269"/>
    </row>
    <row r="13" spans="2:7" x14ac:dyDescent="0.25">
      <c r="B13" s="268"/>
      <c r="C13" s="129"/>
      <c r="D13" s="129"/>
      <c r="E13" s="129"/>
      <c r="F13" s="129"/>
      <c r="G13" s="269"/>
    </row>
    <row r="14" spans="2:7" ht="15.75" thickBot="1" x14ac:dyDescent="0.3">
      <c r="B14" s="270" t="s">
        <v>26</v>
      </c>
      <c r="C14" s="271">
        <f>C9*C11</f>
        <v>2214000</v>
      </c>
      <c r="D14" s="271">
        <f>D9*D11</f>
        <v>2280862.8000000003</v>
      </c>
      <c r="E14" s="271">
        <f>E9*E11</f>
        <v>2349744.8565600007</v>
      </c>
      <c r="F14" s="271">
        <f>F9*F11</f>
        <v>2420707.1512281122</v>
      </c>
      <c r="G14" s="271">
        <f>G9*G11</f>
        <v>2493812.5071952017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5"/>
  <sheetViews>
    <sheetView showGridLines="0" workbookViewId="0">
      <selection activeCell="D23" sqref="D23"/>
    </sheetView>
  </sheetViews>
  <sheetFormatPr baseColWidth="10" defaultRowHeight="12.75" x14ac:dyDescent="0.2"/>
  <cols>
    <col min="1" max="1" width="5" style="6" customWidth="1"/>
    <col min="2" max="2" width="32" style="6" customWidth="1"/>
    <col min="3" max="5" width="13.85546875" style="6" bestFit="1" customWidth="1"/>
    <col min="6" max="6" width="15.28515625" style="6" bestFit="1" customWidth="1"/>
    <col min="7" max="7" width="13.85546875" style="6" bestFit="1" customWidth="1"/>
    <col min="8" max="16384" width="11.42578125" style="6"/>
  </cols>
  <sheetData>
    <row r="1" spans="2:7" x14ac:dyDescent="0.2">
      <c r="D1" s="7"/>
      <c r="E1" s="7"/>
      <c r="F1" s="8"/>
      <c r="G1" s="9"/>
    </row>
    <row r="2" spans="2:7" ht="15.75" x14ac:dyDescent="0.25">
      <c r="B2" s="341" t="s">
        <v>27</v>
      </c>
      <c r="C2" s="341"/>
      <c r="D2" s="341"/>
      <c r="E2" s="341"/>
      <c r="F2" s="341"/>
      <c r="G2" s="341"/>
    </row>
    <row r="3" spans="2:7" ht="13.5" thickBot="1" x14ac:dyDescent="0.25">
      <c r="B3" s="342" t="s">
        <v>28</v>
      </c>
      <c r="C3" s="342"/>
      <c r="D3" s="342"/>
      <c r="E3" s="342"/>
      <c r="F3" s="342"/>
      <c r="G3" s="342"/>
    </row>
    <row r="4" spans="2:7" x14ac:dyDescent="0.2">
      <c r="B4" s="343" t="s">
        <v>29</v>
      </c>
      <c r="C4" s="345" t="s">
        <v>30</v>
      </c>
      <c r="D4" s="345"/>
      <c r="E4" s="345"/>
      <c r="F4" s="345"/>
      <c r="G4" s="346"/>
    </row>
    <row r="5" spans="2:7" x14ac:dyDescent="0.2">
      <c r="B5" s="344"/>
      <c r="C5" s="212" t="s">
        <v>18</v>
      </c>
      <c r="D5" s="212" t="s">
        <v>19</v>
      </c>
      <c r="E5" s="212" t="s">
        <v>20</v>
      </c>
      <c r="F5" s="212" t="s">
        <v>21</v>
      </c>
      <c r="G5" s="274" t="s">
        <v>22</v>
      </c>
    </row>
    <row r="6" spans="2:7" x14ac:dyDescent="0.2">
      <c r="B6" s="275"/>
      <c r="C6" s="13"/>
      <c r="D6" s="13"/>
      <c r="E6" s="13"/>
      <c r="F6" s="13"/>
      <c r="G6" s="276"/>
    </row>
    <row r="7" spans="2:7" x14ac:dyDescent="0.2">
      <c r="B7" s="275" t="s">
        <v>31</v>
      </c>
      <c r="C7" s="191">
        <f>Ingresos!C14</f>
        <v>2214000</v>
      </c>
      <c r="D7" s="191">
        <f>Ingresos!D14</f>
        <v>2280862.8000000003</v>
      </c>
      <c r="E7" s="191">
        <f>Ingresos!E14</f>
        <v>2349744.8565600007</v>
      </c>
      <c r="F7" s="191">
        <f>Ingresos!F14</f>
        <v>2420707.1512281122</v>
      </c>
      <c r="G7" s="277">
        <f>Ingresos!G14</f>
        <v>2493812.5071952017</v>
      </c>
    </row>
    <row r="8" spans="2:7" x14ac:dyDescent="0.2">
      <c r="B8" s="275" t="s">
        <v>32</v>
      </c>
      <c r="C8" s="191">
        <f>Costos!C24</f>
        <v>1148485</v>
      </c>
      <c r="D8" s="191">
        <f>Costos!D24</f>
        <v>1159969.8500000001</v>
      </c>
      <c r="E8" s="191">
        <f>Costos!E24</f>
        <v>1171569.5485</v>
      </c>
      <c r="F8" s="191">
        <f>Costos!F24</f>
        <v>1183285.2439850001</v>
      </c>
      <c r="G8" s="277">
        <f>Costos!G24</f>
        <v>1195118.0964248502</v>
      </c>
    </row>
    <row r="9" spans="2:7" x14ac:dyDescent="0.2">
      <c r="B9" s="278"/>
      <c r="C9" s="13"/>
      <c r="D9" s="13"/>
      <c r="E9" s="13"/>
      <c r="F9" s="13"/>
      <c r="G9" s="276"/>
    </row>
    <row r="10" spans="2:7" x14ac:dyDescent="0.2">
      <c r="B10" s="279" t="s">
        <v>33</v>
      </c>
      <c r="C10" s="167">
        <f>C7-C8</f>
        <v>1065515</v>
      </c>
      <c r="D10" s="167">
        <f t="shared" ref="D10:G10" si="0">D7-D8</f>
        <v>1120892.9500000002</v>
      </c>
      <c r="E10" s="167">
        <f t="shared" si="0"/>
        <v>1178175.3080600007</v>
      </c>
      <c r="F10" s="167">
        <f t="shared" si="0"/>
        <v>1237421.9072431121</v>
      </c>
      <c r="G10" s="280">
        <f t="shared" si="0"/>
        <v>1298694.4107703515</v>
      </c>
    </row>
    <row r="11" spans="2:7" x14ac:dyDescent="0.2">
      <c r="B11" s="275"/>
      <c r="C11" s="13"/>
      <c r="D11" s="13"/>
      <c r="E11" s="13"/>
      <c r="F11" s="13"/>
      <c r="G11" s="276"/>
    </row>
    <row r="12" spans="2:7" x14ac:dyDescent="0.2">
      <c r="B12" s="278" t="s">
        <v>34</v>
      </c>
      <c r="C12" s="16">
        <f>Costos!C11</f>
        <v>470640</v>
      </c>
      <c r="D12" s="16">
        <f>Costos!D11</f>
        <v>475346.4</v>
      </c>
      <c r="E12" s="16">
        <f>Costos!E11</f>
        <v>480099.864</v>
      </c>
      <c r="F12" s="16">
        <f>Costos!F11</f>
        <v>484900.86264000006</v>
      </c>
      <c r="G12" s="281">
        <f>Costos!G11</f>
        <v>489749.87126640003</v>
      </c>
    </row>
    <row r="13" spans="2:7" x14ac:dyDescent="0.2">
      <c r="B13" s="278"/>
      <c r="C13" s="16"/>
      <c r="D13" s="16"/>
      <c r="E13" s="16"/>
      <c r="F13" s="16"/>
      <c r="G13" s="281"/>
    </row>
    <row r="14" spans="2:7" x14ac:dyDescent="0.2">
      <c r="B14" s="278"/>
      <c r="C14" s="13"/>
      <c r="D14" s="13"/>
      <c r="E14" s="13"/>
      <c r="F14" s="13"/>
      <c r="G14" s="276"/>
    </row>
    <row r="15" spans="2:7" x14ac:dyDescent="0.2">
      <c r="B15" s="279" t="s">
        <v>35</v>
      </c>
      <c r="C15" s="167">
        <f>C10-C12-C13</f>
        <v>594875</v>
      </c>
      <c r="D15" s="167">
        <f t="shared" ref="D15:G15" si="1">D10-D12-D13</f>
        <v>645546.55000000016</v>
      </c>
      <c r="E15" s="167">
        <f t="shared" si="1"/>
        <v>698075.44406000059</v>
      </c>
      <c r="F15" s="167">
        <f t="shared" si="1"/>
        <v>752521.04460311204</v>
      </c>
      <c r="G15" s="280">
        <f t="shared" si="1"/>
        <v>808944.53950395156</v>
      </c>
    </row>
    <row r="16" spans="2:7" x14ac:dyDescent="0.2">
      <c r="B16" s="275"/>
      <c r="C16" s="13"/>
      <c r="D16" s="13"/>
      <c r="E16" s="13"/>
      <c r="F16" s="13"/>
      <c r="G16" s="276"/>
    </row>
    <row r="17" spans="2:7" x14ac:dyDescent="0.2">
      <c r="B17" s="282" t="s">
        <v>36</v>
      </c>
      <c r="C17" s="14">
        <v>0</v>
      </c>
      <c r="D17" s="14">
        <v>0</v>
      </c>
      <c r="E17" s="14">
        <v>0</v>
      </c>
      <c r="F17" s="14">
        <v>0</v>
      </c>
      <c r="G17" s="283">
        <v>0</v>
      </c>
    </row>
    <row r="18" spans="2:7" x14ac:dyDescent="0.2">
      <c r="B18" s="282" t="s">
        <v>37</v>
      </c>
      <c r="C18" s="14">
        <v>0</v>
      </c>
      <c r="D18" s="14">
        <v>0</v>
      </c>
      <c r="E18" s="14">
        <v>0</v>
      </c>
      <c r="F18" s="14">
        <v>0</v>
      </c>
      <c r="G18" s="283">
        <v>0</v>
      </c>
    </row>
    <row r="19" spans="2:7" x14ac:dyDescent="0.2">
      <c r="B19" s="282"/>
      <c r="C19" s="14"/>
      <c r="D19" s="14"/>
      <c r="E19" s="14"/>
      <c r="F19" s="14"/>
      <c r="G19" s="283"/>
    </row>
    <row r="20" spans="2:7" x14ac:dyDescent="0.2">
      <c r="B20" s="282"/>
      <c r="C20" s="15"/>
      <c r="D20" s="15"/>
      <c r="E20" s="15"/>
      <c r="F20" s="15"/>
      <c r="G20" s="284"/>
    </row>
    <row r="21" spans="2:7" x14ac:dyDescent="0.2">
      <c r="B21" s="279" t="s">
        <v>38</v>
      </c>
      <c r="C21" s="167">
        <f>C15-C18-C19-C17-C20</f>
        <v>594875</v>
      </c>
      <c r="D21" s="167">
        <f>D15-D18-D19-D17-D20</f>
        <v>645546.55000000016</v>
      </c>
      <c r="E21" s="167">
        <f t="shared" ref="E21:G21" si="2">E15-E18-E19-E17-E20</f>
        <v>698075.44406000059</v>
      </c>
      <c r="F21" s="167">
        <f t="shared" si="2"/>
        <v>752521.04460311204</v>
      </c>
      <c r="G21" s="280">
        <f t="shared" si="2"/>
        <v>808944.53950395156</v>
      </c>
    </row>
    <row r="22" spans="2:7" x14ac:dyDescent="0.2">
      <c r="B22" s="278"/>
      <c r="C22" s="13"/>
      <c r="D22" s="13"/>
      <c r="E22" s="13"/>
      <c r="F22" s="13"/>
      <c r="G22" s="276"/>
    </row>
    <row r="23" spans="2:7" x14ac:dyDescent="0.2">
      <c r="B23" s="278"/>
      <c r="C23" s="16"/>
      <c r="D23" s="16"/>
      <c r="E23" s="16"/>
      <c r="F23" s="16"/>
      <c r="G23" s="281"/>
    </row>
    <row r="24" spans="2:7" x14ac:dyDescent="0.2">
      <c r="B24" s="278" t="s">
        <v>39</v>
      </c>
      <c r="C24" s="16">
        <f t="shared" ref="C24:F24" si="3">C21*0.1</f>
        <v>59487.5</v>
      </c>
      <c r="D24" s="16">
        <f t="shared" si="3"/>
        <v>64554.655000000021</v>
      </c>
      <c r="E24" s="16">
        <f t="shared" si="3"/>
        <v>69807.544406000059</v>
      </c>
      <c r="F24" s="16">
        <f t="shared" si="3"/>
        <v>75252.10446031121</v>
      </c>
      <c r="G24" s="281">
        <f>G21*0.1</f>
        <v>80894.453950395167</v>
      </c>
    </row>
    <row r="25" spans="2:7" x14ac:dyDescent="0.2">
      <c r="B25" s="278"/>
      <c r="C25" s="13"/>
      <c r="D25" s="13"/>
      <c r="E25" s="13"/>
      <c r="F25" s="13"/>
      <c r="G25" s="276"/>
    </row>
    <row r="26" spans="2:7" ht="13.5" thickBot="1" x14ac:dyDescent="0.25">
      <c r="B26" s="285" t="s">
        <v>40</v>
      </c>
      <c r="C26" s="286">
        <f>C21-C23-C24</f>
        <v>535387.5</v>
      </c>
      <c r="D26" s="286">
        <f t="shared" ref="D26:F26" si="4">D21-D23-D24</f>
        <v>580991.89500000014</v>
      </c>
      <c r="E26" s="286">
        <f t="shared" si="4"/>
        <v>628267.89965400053</v>
      </c>
      <c r="F26" s="286">
        <f t="shared" si="4"/>
        <v>677268.9401428008</v>
      </c>
      <c r="G26" s="287">
        <f>G21-G23-G24</f>
        <v>728050.08555355645</v>
      </c>
    </row>
    <row r="29" spans="2:7" x14ac:dyDescent="0.2">
      <c r="B29" s="6" t="s">
        <v>95</v>
      </c>
      <c r="C29" s="10">
        <f>C8+C12+C17+C18+C19+C23+C24</f>
        <v>1678612.5</v>
      </c>
      <c r="D29" s="10">
        <f t="shared" ref="D29:G29" si="5">D8+D12+D17+D18+D19+D23+D24</f>
        <v>1699870.905</v>
      </c>
      <c r="E29" s="10">
        <f t="shared" si="5"/>
        <v>1721476.9569060002</v>
      </c>
      <c r="F29" s="10">
        <f t="shared" si="5"/>
        <v>1743438.2110853111</v>
      </c>
      <c r="G29" s="10">
        <f t="shared" si="5"/>
        <v>1765762.4216416453</v>
      </c>
    </row>
    <row r="32" spans="2:7" x14ac:dyDescent="0.2">
      <c r="D32" s="17"/>
      <c r="E32" s="17"/>
      <c r="F32" s="17"/>
      <c r="G32" s="17"/>
    </row>
    <row r="33" spans="4:6" ht="15" x14ac:dyDescent="0.3">
      <c r="D33" s="17"/>
      <c r="F33" s="18"/>
    </row>
    <row r="34" spans="4:6" ht="18" x14ac:dyDescent="0.35">
      <c r="D34" s="19"/>
    </row>
    <row r="35" spans="4:6" x14ac:dyDescent="0.2">
      <c r="D35" s="20"/>
    </row>
  </sheetData>
  <mergeCells count="4">
    <mergeCell ref="B2:G2"/>
    <mergeCell ref="B3:G3"/>
    <mergeCell ref="B4:B5"/>
    <mergeCell ref="C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50"/>
  <sheetViews>
    <sheetView showGridLines="0" topLeftCell="A8" zoomScale="85" zoomScaleNormal="85" workbookViewId="0">
      <selection activeCell="J29" sqref="J29"/>
    </sheetView>
  </sheetViews>
  <sheetFormatPr baseColWidth="10" defaultColWidth="12.5703125" defaultRowHeight="15" x14ac:dyDescent="0.25"/>
  <cols>
    <col min="1" max="1" width="12.5703125" customWidth="1"/>
    <col min="2" max="2" width="11.140625" customWidth="1"/>
    <col min="3" max="3" width="13.5703125" customWidth="1"/>
    <col min="4" max="4" width="15.42578125" bestFit="1" customWidth="1"/>
    <col min="5" max="5" width="17.140625" customWidth="1"/>
    <col min="6" max="6" width="15.42578125" customWidth="1"/>
    <col min="7" max="7" width="18.7109375" customWidth="1"/>
    <col min="8" max="8" width="13.7109375" customWidth="1"/>
    <col min="9" max="9" width="14.85546875" customWidth="1"/>
    <col min="10" max="10" width="13.140625" customWidth="1"/>
    <col min="12" max="12" width="28.85546875" bestFit="1" customWidth="1"/>
    <col min="257" max="257" width="12.5703125" customWidth="1"/>
    <col min="258" max="258" width="28.85546875" customWidth="1"/>
    <col min="259" max="259" width="13.42578125" bestFit="1" customWidth="1"/>
    <col min="260" max="260" width="15" bestFit="1" customWidth="1"/>
    <col min="261" max="261" width="15.85546875" customWidth="1"/>
    <col min="262" max="262" width="18.140625" customWidth="1"/>
    <col min="263" max="263" width="17.85546875" customWidth="1"/>
    <col min="264" max="264" width="15" bestFit="1" customWidth="1"/>
    <col min="265" max="265" width="11.7109375" bestFit="1" customWidth="1"/>
    <col min="266" max="266" width="13.140625" customWidth="1"/>
    <col min="268" max="268" width="28.85546875" bestFit="1" customWidth="1"/>
    <col min="513" max="513" width="12.5703125" customWidth="1"/>
    <col min="514" max="514" width="28.85546875" customWidth="1"/>
    <col min="515" max="515" width="13.42578125" bestFit="1" customWidth="1"/>
    <col min="516" max="516" width="15" bestFit="1" customWidth="1"/>
    <col min="517" max="517" width="15.85546875" customWidth="1"/>
    <col min="518" max="518" width="18.140625" customWidth="1"/>
    <col min="519" max="519" width="17.85546875" customWidth="1"/>
    <col min="520" max="520" width="15" bestFit="1" customWidth="1"/>
    <col min="521" max="521" width="11.7109375" bestFit="1" customWidth="1"/>
    <col min="522" max="522" width="13.140625" customWidth="1"/>
    <col min="524" max="524" width="28.85546875" bestFit="1" customWidth="1"/>
    <col min="769" max="769" width="12.5703125" customWidth="1"/>
    <col min="770" max="770" width="28.85546875" customWidth="1"/>
    <col min="771" max="771" width="13.42578125" bestFit="1" customWidth="1"/>
    <col min="772" max="772" width="15" bestFit="1" customWidth="1"/>
    <col min="773" max="773" width="15.85546875" customWidth="1"/>
    <col min="774" max="774" width="18.140625" customWidth="1"/>
    <col min="775" max="775" width="17.85546875" customWidth="1"/>
    <col min="776" max="776" width="15" bestFit="1" customWidth="1"/>
    <col min="777" max="777" width="11.7109375" bestFit="1" customWidth="1"/>
    <col min="778" max="778" width="13.140625" customWidth="1"/>
    <col min="780" max="780" width="28.85546875" bestFit="1" customWidth="1"/>
    <col min="1025" max="1025" width="12.5703125" customWidth="1"/>
    <col min="1026" max="1026" width="28.85546875" customWidth="1"/>
    <col min="1027" max="1027" width="13.42578125" bestFit="1" customWidth="1"/>
    <col min="1028" max="1028" width="15" bestFit="1" customWidth="1"/>
    <col min="1029" max="1029" width="15.85546875" customWidth="1"/>
    <col min="1030" max="1030" width="18.140625" customWidth="1"/>
    <col min="1031" max="1031" width="17.85546875" customWidth="1"/>
    <col min="1032" max="1032" width="15" bestFit="1" customWidth="1"/>
    <col min="1033" max="1033" width="11.7109375" bestFit="1" customWidth="1"/>
    <col min="1034" max="1034" width="13.140625" customWidth="1"/>
    <col min="1036" max="1036" width="28.85546875" bestFit="1" customWidth="1"/>
    <col min="1281" max="1281" width="12.5703125" customWidth="1"/>
    <col min="1282" max="1282" width="28.85546875" customWidth="1"/>
    <col min="1283" max="1283" width="13.42578125" bestFit="1" customWidth="1"/>
    <col min="1284" max="1284" width="15" bestFit="1" customWidth="1"/>
    <col min="1285" max="1285" width="15.85546875" customWidth="1"/>
    <col min="1286" max="1286" width="18.140625" customWidth="1"/>
    <col min="1287" max="1287" width="17.85546875" customWidth="1"/>
    <col min="1288" max="1288" width="15" bestFit="1" customWidth="1"/>
    <col min="1289" max="1289" width="11.7109375" bestFit="1" customWidth="1"/>
    <col min="1290" max="1290" width="13.140625" customWidth="1"/>
    <col min="1292" max="1292" width="28.85546875" bestFit="1" customWidth="1"/>
    <col min="1537" max="1537" width="12.5703125" customWidth="1"/>
    <col min="1538" max="1538" width="28.85546875" customWidth="1"/>
    <col min="1539" max="1539" width="13.42578125" bestFit="1" customWidth="1"/>
    <col min="1540" max="1540" width="15" bestFit="1" customWidth="1"/>
    <col min="1541" max="1541" width="15.85546875" customWidth="1"/>
    <col min="1542" max="1542" width="18.140625" customWidth="1"/>
    <col min="1543" max="1543" width="17.85546875" customWidth="1"/>
    <col min="1544" max="1544" width="15" bestFit="1" customWidth="1"/>
    <col min="1545" max="1545" width="11.7109375" bestFit="1" customWidth="1"/>
    <col min="1546" max="1546" width="13.140625" customWidth="1"/>
    <col min="1548" max="1548" width="28.85546875" bestFit="1" customWidth="1"/>
    <col min="1793" max="1793" width="12.5703125" customWidth="1"/>
    <col min="1794" max="1794" width="28.85546875" customWidth="1"/>
    <col min="1795" max="1795" width="13.42578125" bestFit="1" customWidth="1"/>
    <col min="1796" max="1796" width="15" bestFit="1" customWidth="1"/>
    <col min="1797" max="1797" width="15.85546875" customWidth="1"/>
    <col min="1798" max="1798" width="18.140625" customWidth="1"/>
    <col min="1799" max="1799" width="17.85546875" customWidth="1"/>
    <col min="1800" max="1800" width="15" bestFit="1" customWidth="1"/>
    <col min="1801" max="1801" width="11.7109375" bestFit="1" customWidth="1"/>
    <col min="1802" max="1802" width="13.140625" customWidth="1"/>
    <col min="1804" max="1804" width="28.85546875" bestFit="1" customWidth="1"/>
    <col min="2049" max="2049" width="12.5703125" customWidth="1"/>
    <col min="2050" max="2050" width="28.85546875" customWidth="1"/>
    <col min="2051" max="2051" width="13.42578125" bestFit="1" customWidth="1"/>
    <col min="2052" max="2052" width="15" bestFit="1" customWidth="1"/>
    <col min="2053" max="2053" width="15.85546875" customWidth="1"/>
    <col min="2054" max="2054" width="18.140625" customWidth="1"/>
    <col min="2055" max="2055" width="17.85546875" customWidth="1"/>
    <col min="2056" max="2056" width="15" bestFit="1" customWidth="1"/>
    <col min="2057" max="2057" width="11.7109375" bestFit="1" customWidth="1"/>
    <col min="2058" max="2058" width="13.140625" customWidth="1"/>
    <col min="2060" max="2060" width="28.85546875" bestFit="1" customWidth="1"/>
    <col min="2305" max="2305" width="12.5703125" customWidth="1"/>
    <col min="2306" max="2306" width="28.85546875" customWidth="1"/>
    <col min="2307" max="2307" width="13.42578125" bestFit="1" customWidth="1"/>
    <col min="2308" max="2308" width="15" bestFit="1" customWidth="1"/>
    <col min="2309" max="2309" width="15.85546875" customWidth="1"/>
    <col min="2310" max="2310" width="18.140625" customWidth="1"/>
    <col min="2311" max="2311" width="17.85546875" customWidth="1"/>
    <col min="2312" max="2312" width="15" bestFit="1" customWidth="1"/>
    <col min="2313" max="2313" width="11.7109375" bestFit="1" customWidth="1"/>
    <col min="2314" max="2314" width="13.140625" customWidth="1"/>
    <col min="2316" max="2316" width="28.85546875" bestFit="1" customWidth="1"/>
    <col min="2561" max="2561" width="12.5703125" customWidth="1"/>
    <col min="2562" max="2562" width="28.85546875" customWidth="1"/>
    <col min="2563" max="2563" width="13.42578125" bestFit="1" customWidth="1"/>
    <col min="2564" max="2564" width="15" bestFit="1" customWidth="1"/>
    <col min="2565" max="2565" width="15.85546875" customWidth="1"/>
    <col min="2566" max="2566" width="18.140625" customWidth="1"/>
    <col min="2567" max="2567" width="17.85546875" customWidth="1"/>
    <col min="2568" max="2568" width="15" bestFit="1" customWidth="1"/>
    <col min="2569" max="2569" width="11.7109375" bestFit="1" customWidth="1"/>
    <col min="2570" max="2570" width="13.140625" customWidth="1"/>
    <col min="2572" max="2572" width="28.85546875" bestFit="1" customWidth="1"/>
    <col min="2817" max="2817" width="12.5703125" customWidth="1"/>
    <col min="2818" max="2818" width="28.85546875" customWidth="1"/>
    <col min="2819" max="2819" width="13.42578125" bestFit="1" customWidth="1"/>
    <col min="2820" max="2820" width="15" bestFit="1" customWidth="1"/>
    <col min="2821" max="2821" width="15.85546875" customWidth="1"/>
    <col min="2822" max="2822" width="18.140625" customWidth="1"/>
    <col min="2823" max="2823" width="17.85546875" customWidth="1"/>
    <col min="2824" max="2824" width="15" bestFit="1" customWidth="1"/>
    <col min="2825" max="2825" width="11.7109375" bestFit="1" customWidth="1"/>
    <col min="2826" max="2826" width="13.140625" customWidth="1"/>
    <col min="2828" max="2828" width="28.85546875" bestFit="1" customWidth="1"/>
    <col min="3073" max="3073" width="12.5703125" customWidth="1"/>
    <col min="3074" max="3074" width="28.85546875" customWidth="1"/>
    <col min="3075" max="3075" width="13.42578125" bestFit="1" customWidth="1"/>
    <col min="3076" max="3076" width="15" bestFit="1" customWidth="1"/>
    <col min="3077" max="3077" width="15.85546875" customWidth="1"/>
    <col min="3078" max="3078" width="18.140625" customWidth="1"/>
    <col min="3079" max="3079" width="17.85546875" customWidth="1"/>
    <col min="3080" max="3080" width="15" bestFit="1" customWidth="1"/>
    <col min="3081" max="3081" width="11.7109375" bestFit="1" customWidth="1"/>
    <col min="3082" max="3082" width="13.140625" customWidth="1"/>
    <col min="3084" max="3084" width="28.85546875" bestFit="1" customWidth="1"/>
    <col min="3329" max="3329" width="12.5703125" customWidth="1"/>
    <col min="3330" max="3330" width="28.85546875" customWidth="1"/>
    <col min="3331" max="3331" width="13.42578125" bestFit="1" customWidth="1"/>
    <col min="3332" max="3332" width="15" bestFit="1" customWidth="1"/>
    <col min="3333" max="3333" width="15.85546875" customWidth="1"/>
    <col min="3334" max="3334" width="18.140625" customWidth="1"/>
    <col min="3335" max="3335" width="17.85546875" customWidth="1"/>
    <col min="3336" max="3336" width="15" bestFit="1" customWidth="1"/>
    <col min="3337" max="3337" width="11.7109375" bestFit="1" customWidth="1"/>
    <col min="3338" max="3338" width="13.140625" customWidth="1"/>
    <col min="3340" max="3340" width="28.85546875" bestFit="1" customWidth="1"/>
    <col min="3585" max="3585" width="12.5703125" customWidth="1"/>
    <col min="3586" max="3586" width="28.85546875" customWidth="1"/>
    <col min="3587" max="3587" width="13.42578125" bestFit="1" customWidth="1"/>
    <col min="3588" max="3588" width="15" bestFit="1" customWidth="1"/>
    <col min="3589" max="3589" width="15.85546875" customWidth="1"/>
    <col min="3590" max="3590" width="18.140625" customWidth="1"/>
    <col min="3591" max="3591" width="17.85546875" customWidth="1"/>
    <col min="3592" max="3592" width="15" bestFit="1" customWidth="1"/>
    <col min="3593" max="3593" width="11.7109375" bestFit="1" customWidth="1"/>
    <col min="3594" max="3594" width="13.140625" customWidth="1"/>
    <col min="3596" max="3596" width="28.85546875" bestFit="1" customWidth="1"/>
    <col min="3841" max="3841" width="12.5703125" customWidth="1"/>
    <col min="3842" max="3842" width="28.85546875" customWidth="1"/>
    <col min="3843" max="3843" width="13.42578125" bestFit="1" customWidth="1"/>
    <col min="3844" max="3844" width="15" bestFit="1" customWidth="1"/>
    <col min="3845" max="3845" width="15.85546875" customWidth="1"/>
    <col min="3846" max="3846" width="18.140625" customWidth="1"/>
    <col min="3847" max="3847" width="17.85546875" customWidth="1"/>
    <col min="3848" max="3848" width="15" bestFit="1" customWidth="1"/>
    <col min="3849" max="3849" width="11.7109375" bestFit="1" customWidth="1"/>
    <col min="3850" max="3850" width="13.140625" customWidth="1"/>
    <col min="3852" max="3852" width="28.85546875" bestFit="1" customWidth="1"/>
    <col min="4097" max="4097" width="12.5703125" customWidth="1"/>
    <col min="4098" max="4098" width="28.85546875" customWidth="1"/>
    <col min="4099" max="4099" width="13.42578125" bestFit="1" customWidth="1"/>
    <col min="4100" max="4100" width="15" bestFit="1" customWidth="1"/>
    <col min="4101" max="4101" width="15.85546875" customWidth="1"/>
    <col min="4102" max="4102" width="18.140625" customWidth="1"/>
    <col min="4103" max="4103" width="17.85546875" customWidth="1"/>
    <col min="4104" max="4104" width="15" bestFit="1" customWidth="1"/>
    <col min="4105" max="4105" width="11.7109375" bestFit="1" customWidth="1"/>
    <col min="4106" max="4106" width="13.140625" customWidth="1"/>
    <col min="4108" max="4108" width="28.85546875" bestFit="1" customWidth="1"/>
    <col min="4353" max="4353" width="12.5703125" customWidth="1"/>
    <col min="4354" max="4354" width="28.85546875" customWidth="1"/>
    <col min="4355" max="4355" width="13.42578125" bestFit="1" customWidth="1"/>
    <col min="4356" max="4356" width="15" bestFit="1" customWidth="1"/>
    <col min="4357" max="4357" width="15.85546875" customWidth="1"/>
    <col min="4358" max="4358" width="18.140625" customWidth="1"/>
    <col min="4359" max="4359" width="17.85546875" customWidth="1"/>
    <col min="4360" max="4360" width="15" bestFit="1" customWidth="1"/>
    <col min="4361" max="4361" width="11.7109375" bestFit="1" customWidth="1"/>
    <col min="4362" max="4362" width="13.140625" customWidth="1"/>
    <col min="4364" max="4364" width="28.85546875" bestFit="1" customWidth="1"/>
    <col min="4609" max="4609" width="12.5703125" customWidth="1"/>
    <col min="4610" max="4610" width="28.85546875" customWidth="1"/>
    <col min="4611" max="4611" width="13.42578125" bestFit="1" customWidth="1"/>
    <col min="4612" max="4612" width="15" bestFit="1" customWidth="1"/>
    <col min="4613" max="4613" width="15.85546875" customWidth="1"/>
    <col min="4614" max="4614" width="18.140625" customWidth="1"/>
    <col min="4615" max="4615" width="17.85546875" customWidth="1"/>
    <col min="4616" max="4616" width="15" bestFit="1" customWidth="1"/>
    <col min="4617" max="4617" width="11.7109375" bestFit="1" customWidth="1"/>
    <col min="4618" max="4618" width="13.140625" customWidth="1"/>
    <col min="4620" max="4620" width="28.85546875" bestFit="1" customWidth="1"/>
    <col min="4865" max="4865" width="12.5703125" customWidth="1"/>
    <col min="4866" max="4866" width="28.85546875" customWidth="1"/>
    <col min="4867" max="4867" width="13.42578125" bestFit="1" customWidth="1"/>
    <col min="4868" max="4868" width="15" bestFit="1" customWidth="1"/>
    <col min="4869" max="4869" width="15.85546875" customWidth="1"/>
    <col min="4870" max="4870" width="18.140625" customWidth="1"/>
    <col min="4871" max="4871" width="17.85546875" customWidth="1"/>
    <col min="4872" max="4872" width="15" bestFit="1" customWidth="1"/>
    <col min="4873" max="4873" width="11.7109375" bestFit="1" customWidth="1"/>
    <col min="4874" max="4874" width="13.140625" customWidth="1"/>
    <col min="4876" max="4876" width="28.85546875" bestFit="1" customWidth="1"/>
    <col min="5121" max="5121" width="12.5703125" customWidth="1"/>
    <col min="5122" max="5122" width="28.85546875" customWidth="1"/>
    <col min="5123" max="5123" width="13.42578125" bestFit="1" customWidth="1"/>
    <col min="5124" max="5124" width="15" bestFit="1" customWidth="1"/>
    <col min="5125" max="5125" width="15.85546875" customWidth="1"/>
    <col min="5126" max="5126" width="18.140625" customWidth="1"/>
    <col min="5127" max="5127" width="17.85546875" customWidth="1"/>
    <col min="5128" max="5128" width="15" bestFit="1" customWidth="1"/>
    <col min="5129" max="5129" width="11.7109375" bestFit="1" customWidth="1"/>
    <col min="5130" max="5130" width="13.140625" customWidth="1"/>
    <col min="5132" max="5132" width="28.85546875" bestFit="1" customWidth="1"/>
    <col min="5377" max="5377" width="12.5703125" customWidth="1"/>
    <col min="5378" max="5378" width="28.85546875" customWidth="1"/>
    <col min="5379" max="5379" width="13.42578125" bestFit="1" customWidth="1"/>
    <col min="5380" max="5380" width="15" bestFit="1" customWidth="1"/>
    <col min="5381" max="5381" width="15.85546875" customWidth="1"/>
    <col min="5382" max="5382" width="18.140625" customWidth="1"/>
    <col min="5383" max="5383" width="17.85546875" customWidth="1"/>
    <col min="5384" max="5384" width="15" bestFit="1" customWidth="1"/>
    <col min="5385" max="5385" width="11.7109375" bestFit="1" customWidth="1"/>
    <col min="5386" max="5386" width="13.140625" customWidth="1"/>
    <col min="5388" max="5388" width="28.85546875" bestFit="1" customWidth="1"/>
    <col min="5633" max="5633" width="12.5703125" customWidth="1"/>
    <col min="5634" max="5634" width="28.85546875" customWidth="1"/>
    <col min="5635" max="5635" width="13.42578125" bestFit="1" customWidth="1"/>
    <col min="5636" max="5636" width="15" bestFit="1" customWidth="1"/>
    <col min="5637" max="5637" width="15.85546875" customWidth="1"/>
    <col min="5638" max="5638" width="18.140625" customWidth="1"/>
    <col min="5639" max="5639" width="17.85546875" customWidth="1"/>
    <col min="5640" max="5640" width="15" bestFit="1" customWidth="1"/>
    <col min="5641" max="5641" width="11.7109375" bestFit="1" customWidth="1"/>
    <col min="5642" max="5642" width="13.140625" customWidth="1"/>
    <col min="5644" max="5644" width="28.85546875" bestFit="1" customWidth="1"/>
    <col min="5889" max="5889" width="12.5703125" customWidth="1"/>
    <col min="5890" max="5890" width="28.85546875" customWidth="1"/>
    <col min="5891" max="5891" width="13.42578125" bestFit="1" customWidth="1"/>
    <col min="5892" max="5892" width="15" bestFit="1" customWidth="1"/>
    <col min="5893" max="5893" width="15.85546875" customWidth="1"/>
    <col min="5894" max="5894" width="18.140625" customWidth="1"/>
    <col min="5895" max="5895" width="17.85546875" customWidth="1"/>
    <col min="5896" max="5896" width="15" bestFit="1" customWidth="1"/>
    <col min="5897" max="5897" width="11.7109375" bestFit="1" customWidth="1"/>
    <col min="5898" max="5898" width="13.140625" customWidth="1"/>
    <col min="5900" max="5900" width="28.85546875" bestFit="1" customWidth="1"/>
    <col min="6145" max="6145" width="12.5703125" customWidth="1"/>
    <col min="6146" max="6146" width="28.85546875" customWidth="1"/>
    <col min="6147" max="6147" width="13.42578125" bestFit="1" customWidth="1"/>
    <col min="6148" max="6148" width="15" bestFit="1" customWidth="1"/>
    <col min="6149" max="6149" width="15.85546875" customWidth="1"/>
    <col min="6150" max="6150" width="18.140625" customWidth="1"/>
    <col min="6151" max="6151" width="17.85546875" customWidth="1"/>
    <col min="6152" max="6152" width="15" bestFit="1" customWidth="1"/>
    <col min="6153" max="6153" width="11.7109375" bestFit="1" customWidth="1"/>
    <col min="6154" max="6154" width="13.140625" customWidth="1"/>
    <col min="6156" max="6156" width="28.85546875" bestFit="1" customWidth="1"/>
    <col min="6401" max="6401" width="12.5703125" customWidth="1"/>
    <col min="6402" max="6402" width="28.85546875" customWidth="1"/>
    <col min="6403" max="6403" width="13.42578125" bestFit="1" customWidth="1"/>
    <col min="6404" max="6404" width="15" bestFit="1" customWidth="1"/>
    <col min="6405" max="6405" width="15.85546875" customWidth="1"/>
    <col min="6406" max="6406" width="18.140625" customWidth="1"/>
    <col min="6407" max="6407" width="17.85546875" customWidth="1"/>
    <col min="6408" max="6408" width="15" bestFit="1" customWidth="1"/>
    <col min="6409" max="6409" width="11.7109375" bestFit="1" customWidth="1"/>
    <col min="6410" max="6410" width="13.140625" customWidth="1"/>
    <col min="6412" max="6412" width="28.85546875" bestFit="1" customWidth="1"/>
    <col min="6657" max="6657" width="12.5703125" customWidth="1"/>
    <col min="6658" max="6658" width="28.85546875" customWidth="1"/>
    <col min="6659" max="6659" width="13.42578125" bestFit="1" customWidth="1"/>
    <col min="6660" max="6660" width="15" bestFit="1" customWidth="1"/>
    <col min="6661" max="6661" width="15.85546875" customWidth="1"/>
    <col min="6662" max="6662" width="18.140625" customWidth="1"/>
    <col min="6663" max="6663" width="17.85546875" customWidth="1"/>
    <col min="6664" max="6664" width="15" bestFit="1" customWidth="1"/>
    <col min="6665" max="6665" width="11.7109375" bestFit="1" customWidth="1"/>
    <col min="6666" max="6666" width="13.140625" customWidth="1"/>
    <col min="6668" max="6668" width="28.85546875" bestFit="1" customWidth="1"/>
    <col min="6913" max="6913" width="12.5703125" customWidth="1"/>
    <col min="6914" max="6914" width="28.85546875" customWidth="1"/>
    <col min="6915" max="6915" width="13.42578125" bestFit="1" customWidth="1"/>
    <col min="6916" max="6916" width="15" bestFit="1" customWidth="1"/>
    <col min="6917" max="6917" width="15.85546875" customWidth="1"/>
    <col min="6918" max="6918" width="18.140625" customWidth="1"/>
    <col min="6919" max="6919" width="17.85546875" customWidth="1"/>
    <col min="6920" max="6920" width="15" bestFit="1" customWidth="1"/>
    <col min="6921" max="6921" width="11.7109375" bestFit="1" customWidth="1"/>
    <col min="6922" max="6922" width="13.140625" customWidth="1"/>
    <col min="6924" max="6924" width="28.85546875" bestFit="1" customWidth="1"/>
    <col min="7169" max="7169" width="12.5703125" customWidth="1"/>
    <col min="7170" max="7170" width="28.85546875" customWidth="1"/>
    <col min="7171" max="7171" width="13.42578125" bestFit="1" customWidth="1"/>
    <col min="7172" max="7172" width="15" bestFit="1" customWidth="1"/>
    <col min="7173" max="7173" width="15.85546875" customWidth="1"/>
    <col min="7174" max="7174" width="18.140625" customWidth="1"/>
    <col min="7175" max="7175" width="17.85546875" customWidth="1"/>
    <col min="7176" max="7176" width="15" bestFit="1" customWidth="1"/>
    <col min="7177" max="7177" width="11.7109375" bestFit="1" customWidth="1"/>
    <col min="7178" max="7178" width="13.140625" customWidth="1"/>
    <col min="7180" max="7180" width="28.85546875" bestFit="1" customWidth="1"/>
    <col min="7425" max="7425" width="12.5703125" customWidth="1"/>
    <col min="7426" max="7426" width="28.85546875" customWidth="1"/>
    <col min="7427" max="7427" width="13.42578125" bestFit="1" customWidth="1"/>
    <col min="7428" max="7428" width="15" bestFit="1" customWidth="1"/>
    <col min="7429" max="7429" width="15.85546875" customWidth="1"/>
    <col min="7430" max="7430" width="18.140625" customWidth="1"/>
    <col min="7431" max="7431" width="17.85546875" customWidth="1"/>
    <col min="7432" max="7432" width="15" bestFit="1" customWidth="1"/>
    <col min="7433" max="7433" width="11.7109375" bestFit="1" customWidth="1"/>
    <col min="7434" max="7434" width="13.140625" customWidth="1"/>
    <col min="7436" max="7436" width="28.85546875" bestFit="1" customWidth="1"/>
    <col min="7681" max="7681" width="12.5703125" customWidth="1"/>
    <col min="7682" max="7682" width="28.85546875" customWidth="1"/>
    <col min="7683" max="7683" width="13.42578125" bestFit="1" customWidth="1"/>
    <col min="7684" max="7684" width="15" bestFit="1" customWidth="1"/>
    <col min="7685" max="7685" width="15.85546875" customWidth="1"/>
    <col min="7686" max="7686" width="18.140625" customWidth="1"/>
    <col min="7687" max="7687" width="17.85546875" customWidth="1"/>
    <col min="7688" max="7688" width="15" bestFit="1" customWidth="1"/>
    <col min="7689" max="7689" width="11.7109375" bestFit="1" customWidth="1"/>
    <col min="7690" max="7690" width="13.140625" customWidth="1"/>
    <col min="7692" max="7692" width="28.85546875" bestFit="1" customWidth="1"/>
    <col min="7937" max="7937" width="12.5703125" customWidth="1"/>
    <col min="7938" max="7938" width="28.85546875" customWidth="1"/>
    <col min="7939" max="7939" width="13.42578125" bestFit="1" customWidth="1"/>
    <col min="7940" max="7940" width="15" bestFit="1" customWidth="1"/>
    <col min="7941" max="7941" width="15.85546875" customWidth="1"/>
    <col min="7942" max="7942" width="18.140625" customWidth="1"/>
    <col min="7943" max="7943" width="17.85546875" customWidth="1"/>
    <col min="7944" max="7944" width="15" bestFit="1" customWidth="1"/>
    <col min="7945" max="7945" width="11.7109375" bestFit="1" customWidth="1"/>
    <col min="7946" max="7946" width="13.140625" customWidth="1"/>
    <col min="7948" max="7948" width="28.85546875" bestFit="1" customWidth="1"/>
    <col min="8193" max="8193" width="12.5703125" customWidth="1"/>
    <col min="8194" max="8194" width="28.85546875" customWidth="1"/>
    <col min="8195" max="8195" width="13.42578125" bestFit="1" customWidth="1"/>
    <col min="8196" max="8196" width="15" bestFit="1" customWidth="1"/>
    <col min="8197" max="8197" width="15.85546875" customWidth="1"/>
    <col min="8198" max="8198" width="18.140625" customWidth="1"/>
    <col min="8199" max="8199" width="17.85546875" customWidth="1"/>
    <col min="8200" max="8200" width="15" bestFit="1" customWidth="1"/>
    <col min="8201" max="8201" width="11.7109375" bestFit="1" customWidth="1"/>
    <col min="8202" max="8202" width="13.140625" customWidth="1"/>
    <col min="8204" max="8204" width="28.85546875" bestFit="1" customWidth="1"/>
    <col min="8449" max="8449" width="12.5703125" customWidth="1"/>
    <col min="8450" max="8450" width="28.85546875" customWidth="1"/>
    <col min="8451" max="8451" width="13.42578125" bestFit="1" customWidth="1"/>
    <col min="8452" max="8452" width="15" bestFit="1" customWidth="1"/>
    <col min="8453" max="8453" width="15.85546875" customWidth="1"/>
    <col min="8454" max="8454" width="18.140625" customWidth="1"/>
    <col min="8455" max="8455" width="17.85546875" customWidth="1"/>
    <col min="8456" max="8456" width="15" bestFit="1" customWidth="1"/>
    <col min="8457" max="8457" width="11.7109375" bestFit="1" customWidth="1"/>
    <col min="8458" max="8458" width="13.140625" customWidth="1"/>
    <col min="8460" max="8460" width="28.85546875" bestFit="1" customWidth="1"/>
    <col min="8705" max="8705" width="12.5703125" customWidth="1"/>
    <col min="8706" max="8706" width="28.85546875" customWidth="1"/>
    <col min="8707" max="8707" width="13.42578125" bestFit="1" customWidth="1"/>
    <col min="8708" max="8708" width="15" bestFit="1" customWidth="1"/>
    <col min="8709" max="8709" width="15.85546875" customWidth="1"/>
    <col min="8710" max="8710" width="18.140625" customWidth="1"/>
    <col min="8711" max="8711" width="17.85546875" customWidth="1"/>
    <col min="8712" max="8712" width="15" bestFit="1" customWidth="1"/>
    <col min="8713" max="8713" width="11.7109375" bestFit="1" customWidth="1"/>
    <col min="8714" max="8714" width="13.140625" customWidth="1"/>
    <col min="8716" max="8716" width="28.85546875" bestFit="1" customWidth="1"/>
    <col min="8961" max="8961" width="12.5703125" customWidth="1"/>
    <col min="8962" max="8962" width="28.85546875" customWidth="1"/>
    <col min="8963" max="8963" width="13.42578125" bestFit="1" customWidth="1"/>
    <col min="8964" max="8964" width="15" bestFit="1" customWidth="1"/>
    <col min="8965" max="8965" width="15.85546875" customWidth="1"/>
    <col min="8966" max="8966" width="18.140625" customWidth="1"/>
    <col min="8967" max="8967" width="17.85546875" customWidth="1"/>
    <col min="8968" max="8968" width="15" bestFit="1" customWidth="1"/>
    <col min="8969" max="8969" width="11.7109375" bestFit="1" customWidth="1"/>
    <col min="8970" max="8970" width="13.140625" customWidth="1"/>
    <col min="8972" max="8972" width="28.85546875" bestFit="1" customWidth="1"/>
    <col min="9217" max="9217" width="12.5703125" customWidth="1"/>
    <col min="9218" max="9218" width="28.85546875" customWidth="1"/>
    <col min="9219" max="9219" width="13.42578125" bestFit="1" customWidth="1"/>
    <col min="9220" max="9220" width="15" bestFit="1" customWidth="1"/>
    <col min="9221" max="9221" width="15.85546875" customWidth="1"/>
    <col min="9222" max="9222" width="18.140625" customWidth="1"/>
    <col min="9223" max="9223" width="17.85546875" customWidth="1"/>
    <col min="9224" max="9224" width="15" bestFit="1" customWidth="1"/>
    <col min="9225" max="9225" width="11.7109375" bestFit="1" customWidth="1"/>
    <col min="9226" max="9226" width="13.140625" customWidth="1"/>
    <col min="9228" max="9228" width="28.85546875" bestFit="1" customWidth="1"/>
    <col min="9473" max="9473" width="12.5703125" customWidth="1"/>
    <col min="9474" max="9474" width="28.85546875" customWidth="1"/>
    <col min="9475" max="9475" width="13.42578125" bestFit="1" customWidth="1"/>
    <col min="9476" max="9476" width="15" bestFit="1" customWidth="1"/>
    <col min="9477" max="9477" width="15.85546875" customWidth="1"/>
    <col min="9478" max="9478" width="18.140625" customWidth="1"/>
    <col min="9479" max="9479" width="17.85546875" customWidth="1"/>
    <col min="9480" max="9480" width="15" bestFit="1" customWidth="1"/>
    <col min="9481" max="9481" width="11.7109375" bestFit="1" customWidth="1"/>
    <col min="9482" max="9482" width="13.140625" customWidth="1"/>
    <col min="9484" max="9484" width="28.85546875" bestFit="1" customWidth="1"/>
    <col min="9729" max="9729" width="12.5703125" customWidth="1"/>
    <col min="9730" max="9730" width="28.85546875" customWidth="1"/>
    <col min="9731" max="9731" width="13.42578125" bestFit="1" customWidth="1"/>
    <col min="9732" max="9732" width="15" bestFit="1" customWidth="1"/>
    <col min="9733" max="9733" width="15.85546875" customWidth="1"/>
    <col min="9734" max="9734" width="18.140625" customWidth="1"/>
    <col min="9735" max="9735" width="17.85546875" customWidth="1"/>
    <col min="9736" max="9736" width="15" bestFit="1" customWidth="1"/>
    <col min="9737" max="9737" width="11.7109375" bestFit="1" customWidth="1"/>
    <col min="9738" max="9738" width="13.140625" customWidth="1"/>
    <col min="9740" max="9740" width="28.85546875" bestFit="1" customWidth="1"/>
    <col min="9985" max="9985" width="12.5703125" customWidth="1"/>
    <col min="9986" max="9986" width="28.85546875" customWidth="1"/>
    <col min="9987" max="9987" width="13.42578125" bestFit="1" customWidth="1"/>
    <col min="9988" max="9988" width="15" bestFit="1" customWidth="1"/>
    <col min="9989" max="9989" width="15.85546875" customWidth="1"/>
    <col min="9990" max="9990" width="18.140625" customWidth="1"/>
    <col min="9991" max="9991" width="17.85546875" customWidth="1"/>
    <col min="9992" max="9992" width="15" bestFit="1" customWidth="1"/>
    <col min="9993" max="9993" width="11.7109375" bestFit="1" customWidth="1"/>
    <col min="9994" max="9994" width="13.140625" customWidth="1"/>
    <col min="9996" max="9996" width="28.85546875" bestFit="1" customWidth="1"/>
    <col min="10241" max="10241" width="12.5703125" customWidth="1"/>
    <col min="10242" max="10242" width="28.85546875" customWidth="1"/>
    <col min="10243" max="10243" width="13.42578125" bestFit="1" customWidth="1"/>
    <col min="10244" max="10244" width="15" bestFit="1" customWidth="1"/>
    <col min="10245" max="10245" width="15.85546875" customWidth="1"/>
    <col min="10246" max="10246" width="18.140625" customWidth="1"/>
    <col min="10247" max="10247" width="17.85546875" customWidth="1"/>
    <col min="10248" max="10248" width="15" bestFit="1" customWidth="1"/>
    <col min="10249" max="10249" width="11.7109375" bestFit="1" customWidth="1"/>
    <col min="10250" max="10250" width="13.140625" customWidth="1"/>
    <col min="10252" max="10252" width="28.85546875" bestFit="1" customWidth="1"/>
    <col min="10497" max="10497" width="12.5703125" customWidth="1"/>
    <col min="10498" max="10498" width="28.85546875" customWidth="1"/>
    <col min="10499" max="10499" width="13.42578125" bestFit="1" customWidth="1"/>
    <col min="10500" max="10500" width="15" bestFit="1" customWidth="1"/>
    <col min="10501" max="10501" width="15.85546875" customWidth="1"/>
    <col min="10502" max="10502" width="18.140625" customWidth="1"/>
    <col min="10503" max="10503" width="17.85546875" customWidth="1"/>
    <col min="10504" max="10504" width="15" bestFit="1" customWidth="1"/>
    <col min="10505" max="10505" width="11.7109375" bestFit="1" customWidth="1"/>
    <col min="10506" max="10506" width="13.140625" customWidth="1"/>
    <col min="10508" max="10508" width="28.85546875" bestFit="1" customWidth="1"/>
    <col min="10753" max="10753" width="12.5703125" customWidth="1"/>
    <col min="10754" max="10754" width="28.85546875" customWidth="1"/>
    <col min="10755" max="10755" width="13.42578125" bestFit="1" customWidth="1"/>
    <col min="10756" max="10756" width="15" bestFit="1" customWidth="1"/>
    <col min="10757" max="10757" width="15.85546875" customWidth="1"/>
    <col min="10758" max="10758" width="18.140625" customWidth="1"/>
    <col min="10759" max="10759" width="17.85546875" customWidth="1"/>
    <col min="10760" max="10760" width="15" bestFit="1" customWidth="1"/>
    <col min="10761" max="10761" width="11.7109375" bestFit="1" customWidth="1"/>
    <col min="10762" max="10762" width="13.140625" customWidth="1"/>
    <col min="10764" max="10764" width="28.85546875" bestFit="1" customWidth="1"/>
    <col min="11009" max="11009" width="12.5703125" customWidth="1"/>
    <col min="11010" max="11010" width="28.85546875" customWidth="1"/>
    <col min="11011" max="11011" width="13.42578125" bestFit="1" customWidth="1"/>
    <col min="11012" max="11012" width="15" bestFit="1" customWidth="1"/>
    <col min="11013" max="11013" width="15.85546875" customWidth="1"/>
    <col min="11014" max="11014" width="18.140625" customWidth="1"/>
    <col min="11015" max="11015" width="17.85546875" customWidth="1"/>
    <col min="11016" max="11016" width="15" bestFit="1" customWidth="1"/>
    <col min="11017" max="11017" width="11.7109375" bestFit="1" customWidth="1"/>
    <col min="11018" max="11018" width="13.140625" customWidth="1"/>
    <col min="11020" max="11020" width="28.85546875" bestFit="1" customWidth="1"/>
    <col min="11265" max="11265" width="12.5703125" customWidth="1"/>
    <col min="11266" max="11266" width="28.85546875" customWidth="1"/>
    <col min="11267" max="11267" width="13.42578125" bestFit="1" customWidth="1"/>
    <col min="11268" max="11268" width="15" bestFit="1" customWidth="1"/>
    <col min="11269" max="11269" width="15.85546875" customWidth="1"/>
    <col min="11270" max="11270" width="18.140625" customWidth="1"/>
    <col min="11271" max="11271" width="17.85546875" customWidth="1"/>
    <col min="11272" max="11272" width="15" bestFit="1" customWidth="1"/>
    <col min="11273" max="11273" width="11.7109375" bestFit="1" customWidth="1"/>
    <col min="11274" max="11274" width="13.140625" customWidth="1"/>
    <col min="11276" max="11276" width="28.85546875" bestFit="1" customWidth="1"/>
    <col min="11521" max="11521" width="12.5703125" customWidth="1"/>
    <col min="11522" max="11522" width="28.85546875" customWidth="1"/>
    <col min="11523" max="11523" width="13.42578125" bestFit="1" customWidth="1"/>
    <col min="11524" max="11524" width="15" bestFit="1" customWidth="1"/>
    <col min="11525" max="11525" width="15.85546875" customWidth="1"/>
    <col min="11526" max="11526" width="18.140625" customWidth="1"/>
    <col min="11527" max="11527" width="17.85546875" customWidth="1"/>
    <col min="11528" max="11528" width="15" bestFit="1" customWidth="1"/>
    <col min="11529" max="11529" width="11.7109375" bestFit="1" customWidth="1"/>
    <col min="11530" max="11530" width="13.140625" customWidth="1"/>
    <col min="11532" max="11532" width="28.85546875" bestFit="1" customWidth="1"/>
    <col min="11777" max="11777" width="12.5703125" customWidth="1"/>
    <col min="11778" max="11778" width="28.85546875" customWidth="1"/>
    <col min="11779" max="11779" width="13.42578125" bestFit="1" customWidth="1"/>
    <col min="11780" max="11780" width="15" bestFit="1" customWidth="1"/>
    <col min="11781" max="11781" width="15.85546875" customWidth="1"/>
    <col min="11782" max="11782" width="18.140625" customWidth="1"/>
    <col min="11783" max="11783" width="17.85546875" customWidth="1"/>
    <col min="11784" max="11784" width="15" bestFit="1" customWidth="1"/>
    <col min="11785" max="11785" width="11.7109375" bestFit="1" customWidth="1"/>
    <col min="11786" max="11786" width="13.140625" customWidth="1"/>
    <col min="11788" max="11788" width="28.85546875" bestFit="1" customWidth="1"/>
    <col min="12033" max="12033" width="12.5703125" customWidth="1"/>
    <col min="12034" max="12034" width="28.85546875" customWidth="1"/>
    <col min="12035" max="12035" width="13.42578125" bestFit="1" customWidth="1"/>
    <col min="12036" max="12036" width="15" bestFit="1" customWidth="1"/>
    <col min="12037" max="12037" width="15.85546875" customWidth="1"/>
    <col min="12038" max="12038" width="18.140625" customWidth="1"/>
    <col min="12039" max="12039" width="17.85546875" customWidth="1"/>
    <col min="12040" max="12040" width="15" bestFit="1" customWidth="1"/>
    <col min="12041" max="12041" width="11.7109375" bestFit="1" customWidth="1"/>
    <col min="12042" max="12042" width="13.140625" customWidth="1"/>
    <col min="12044" max="12044" width="28.85546875" bestFit="1" customWidth="1"/>
    <col min="12289" max="12289" width="12.5703125" customWidth="1"/>
    <col min="12290" max="12290" width="28.85546875" customWidth="1"/>
    <col min="12291" max="12291" width="13.42578125" bestFit="1" customWidth="1"/>
    <col min="12292" max="12292" width="15" bestFit="1" customWidth="1"/>
    <col min="12293" max="12293" width="15.85546875" customWidth="1"/>
    <col min="12294" max="12294" width="18.140625" customWidth="1"/>
    <col min="12295" max="12295" width="17.85546875" customWidth="1"/>
    <col min="12296" max="12296" width="15" bestFit="1" customWidth="1"/>
    <col min="12297" max="12297" width="11.7109375" bestFit="1" customWidth="1"/>
    <col min="12298" max="12298" width="13.140625" customWidth="1"/>
    <col min="12300" max="12300" width="28.85546875" bestFit="1" customWidth="1"/>
    <col min="12545" max="12545" width="12.5703125" customWidth="1"/>
    <col min="12546" max="12546" width="28.85546875" customWidth="1"/>
    <col min="12547" max="12547" width="13.42578125" bestFit="1" customWidth="1"/>
    <col min="12548" max="12548" width="15" bestFit="1" customWidth="1"/>
    <col min="12549" max="12549" width="15.85546875" customWidth="1"/>
    <col min="12550" max="12550" width="18.140625" customWidth="1"/>
    <col min="12551" max="12551" width="17.85546875" customWidth="1"/>
    <col min="12552" max="12552" width="15" bestFit="1" customWidth="1"/>
    <col min="12553" max="12553" width="11.7109375" bestFit="1" customWidth="1"/>
    <col min="12554" max="12554" width="13.140625" customWidth="1"/>
    <col min="12556" max="12556" width="28.85546875" bestFit="1" customWidth="1"/>
    <col min="12801" max="12801" width="12.5703125" customWidth="1"/>
    <col min="12802" max="12802" width="28.85546875" customWidth="1"/>
    <col min="12803" max="12803" width="13.42578125" bestFit="1" customWidth="1"/>
    <col min="12804" max="12804" width="15" bestFit="1" customWidth="1"/>
    <col min="12805" max="12805" width="15.85546875" customWidth="1"/>
    <col min="12806" max="12806" width="18.140625" customWidth="1"/>
    <col min="12807" max="12807" width="17.85546875" customWidth="1"/>
    <col min="12808" max="12808" width="15" bestFit="1" customWidth="1"/>
    <col min="12809" max="12809" width="11.7109375" bestFit="1" customWidth="1"/>
    <col min="12810" max="12810" width="13.140625" customWidth="1"/>
    <col min="12812" max="12812" width="28.85546875" bestFit="1" customWidth="1"/>
    <col min="13057" max="13057" width="12.5703125" customWidth="1"/>
    <col min="13058" max="13058" width="28.85546875" customWidth="1"/>
    <col min="13059" max="13059" width="13.42578125" bestFit="1" customWidth="1"/>
    <col min="13060" max="13060" width="15" bestFit="1" customWidth="1"/>
    <col min="13061" max="13061" width="15.85546875" customWidth="1"/>
    <col min="13062" max="13062" width="18.140625" customWidth="1"/>
    <col min="13063" max="13063" width="17.85546875" customWidth="1"/>
    <col min="13064" max="13064" width="15" bestFit="1" customWidth="1"/>
    <col min="13065" max="13065" width="11.7109375" bestFit="1" customWidth="1"/>
    <col min="13066" max="13066" width="13.140625" customWidth="1"/>
    <col min="13068" max="13068" width="28.85546875" bestFit="1" customWidth="1"/>
    <col min="13313" max="13313" width="12.5703125" customWidth="1"/>
    <col min="13314" max="13314" width="28.85546875" customWidth="1"/>
    <col min="13315" max="13315" width="13.42578125" bestFit="1" customWidth="1"/>
    <col min="13316" max="13316" width="15" bestFit="1" customWidth="1"/>
    <col min="13317" max="13317" width="15.85546875" customWidth="1"/>
    <col min="13318" max="13318" width="18.140625" customWidth="1"/>
    <col min="13319" max="13319" width="17.85546875" customWidth="1"/>
    <col min="13320" max="13320" width="15" bestFit="1" customWidth="1"/>
    <col min="13321" max="13321" width="11.7109375" bestFit="1" customWidth="1"/>
    <col min="13322" max="13322" width="13.140625" customWidth="1"/>
    <col min="13324" max="13324" width="28.85546875" bestFit="1" customWidth="1"/>
    <col min="13569" max="13569" width="12.5703125" customWidth="1"/>
    <col min="13570" max="13570" width="28.85546875" customWidth="1"/>
    <col min="13571" max="13571" width="13.42578125" bestFit="1" customWidth="1"/>
    <col min="13572" max="13572" width="15" bestFit="1" customWidth="1"/>
    <col min="13573" max="13573" width="15.85546875" customWidth="1"/>
    <col min="13574" max="13574" width="18.140625" customWidth="1"/>
    <col min="13575" max="13575" width="17.85546875" customWidth="1"/>
    <col min="13576" max="13576" width="15" bestFit="1" customWidth="1"/>
    <col min="13577" max="13577" width="11.7109375" bestFit="1" customWidth="1"/>
    <col min="13578" max="13578" width="13.140625" customWidth="1"/>
    <col min="13580" max="13580" width="28.85546875" bestFit="1" customWidth="1"/>
    <col min="13825" max="13825" width="12.5703125" customWidth="1"/>
    <col min="13826" max="13826" width="28.85546875" customWidth="1"/>
    <col min="13827" max="13827" width="13.42578125" bestFit="1" customWidth="1"/>
    <col min="13828" max="13828" width="15" bestFit="1" customWidth="1"/>
    <col min="13829" max="13829" width="15.85546875" customWidth="1"/>
    <col min="13830" max="13830" width="18.140625" customWidth="1"/>
    <col min="13831" max="13831" width="17.85546875" customWidth="1"/>
    <col min="13832" max="13832" width="15" bestFit="1" customWidth="1"/>
    <col min="13833" max="13833" width="11.7109375" bestFit="1" customWidth="1"/>
    <col min="13834" max="13834" width="13.140625" customWidth="1"/>
    <col min="13836" max="13836" width="28.85546875" bestFit="1" customWidth="1"/>
    <col min="14081" max="14081" width="12.5703125" customWidth="1"/>
    <col min="14082" max="14082" width="28.85546875" customWidth="1"/>
    <col min="14083" max="14083" width="13.42578125" bestFit="1" customWidth="1"/>
    <col min="14084" max="14084" width="15" bestFit="1" customWidth="1"/>
    <col min="14085" max="14085" width="15.85546875" customWidth="1"/>
    <col min="14086" max="14086" width="18.140625" customWidth="1"/>
    <col min="14087" max="14087" width="17.85546875" customWidth="1"/>
    <col min="14088" max="14088" width="15" bestFit="1" customWidth="1"/>
    <col min="14089" max="14089" width="11.7109375" bestFit="1" customWidth="1"/>
    <col min="14090" max="14090" width="13.140625" customWidth="1"/>
    <col min="14092" max="14092" width="28.85546875" bestFit="1" customWidth="1"/>
    <col min="14337" max="14337" width="12.5703125" customWidth="1"/>
    <col min="14338" max="14338" width="28.85546875" customWidth="1"/>
    <col min="14339" max="14339" width="13.42578125" bestFit="1" customWidth="1"/>
    <col min="14340" max="14340" width="15" bestFit="1" customWidth="1"/>
    <col min="14341" max="14341" width="15.85546875" customWidth="1"/>
    <col min="14342" max="14342" width="18.140625" customWidth="1"/>
    <col min="14343" max="14343" width="17.85546875" customWidth="1"/>
    <col min="14344" max="14344" width="15" bestFit="1" customWidth="1"/>
    <col min="14345" max="14345" width="11.7109375" bestFit="1" customWidth="1"/>
    <col min="14346" max="14346" width="13.140625" customWidth="1"/>
    <col min="14348" max="14348" width="28.85546875" bestFit="1" customWidth="1"/>
    <col min="14593" max="14593" width="12.5703125" customWidth="1"/>
    <col min="14594" max="14594" width="28.85546875" customWidth="1"/>
    <col min="14595" max="14595" width="13.42578125" bestFit="1" customWidth="1"/>
    <col min="14596" max="14596" width="15" bestFit="1" customWidth="1"/>
    <col min="14597" max="14597" width="15.85546875" customWidth="1"/>
    <col min="14598" max="14598" width="18.140625" customWidth="1"/>
    <col min="14599" max="14599" width="17.85546875" customWidth="1"/>
    <col min="14600" max="14600" width="15" bestFit="1" customWidth="1"/>
    <col min="14601" max="14601" width="11.7109375" bestFit="1" customWidth="1"/>
    <col min="14602" max="14602" width="13.140625" customWidth="1"/>
    <col min="14604" max="14604" width="28.85546875" bestFit="1" customWidth="1"/>
    <col min="14849" max="14849" width="12.5703125" customWidth="1"/>
    <col min="14850" max="14850" width="28.85546875" customWidth="1"/>
    <col min="14851" max="14851" width="13.42578125" bestFit="1" customWidth="1"/>
    <col min="14852" max="14852" width="15" bestFit="1" customWidth="1"/>
    <col min="14853" max="14853" width="15.85546875" customWidth="1"/>
    <col min="14854" max="14854" width="18.140625" customWidth="1"/>
    <col min="14855" max="14855" width="17.85546875" customWidth="1"/>
    <col min="14856" max="14856" width="15" bestFit="1" customWidth="1"/>
    <col min="14857" max="14857" width="11.7109375" bestFit="1" customWidth="1"/>
    <col min="14858" max="14858" width="13.140625" customWidth="1"/>
    <col min="14860" max="14860" width="28.85546875" bestFit="1" customWidth="1"/>
    <col min="15105" max="15105" width="12.5703125" customWidth="1"/>
    <col min="15106" max="15106" width="28.85546875" customWidth="1"/>
    <col min="15107" max="15107" width="13.42578125" bestFit="1" customWidth="1"/>
    <col min="15108" max="15108" width="15" bestFit="1" customWidth="1"/>
    <col min="15109" max="15109" width="15.85546875" customWidth="1"/>
    <col min="15110" max="15110" width="18.140625" customWidth="1"/>
    <col min="15111" max="15111" width="17.85546875" customWidth="1"/>
    <col min="15112" max="15112" width="15" bestFit="1" customWidth="1"/>
    <col min="15113" max="15113" width="11.7109375" bestFit="1" customWidth="1"/>
    <col min="15114" max="15114" width="13.140625" customWidth="1"/>
    <col min="15116" max="15116" width="28.85546875" bestFit="1" customWidth="1"/>
    <col min="15361" max="15361" width="12.5703125" customWidth="1"/>
    <col min="15362" max="15362" width="28.85546875" customWidth="1"/>
    <col min="15363" max="15363" width="13.42578125" bestFit="1" customWidth="1"/>
    <col min="15364" max="15364" width="15" bestFit="1" customWidth="1"/>
    <col min="15365" max="15365" width="15.85546875" customWidth="1"/>
    <col min="15366" max="15366" width="18.140625" customWidth="1"/>
    <col min="15367" max="15367" width="17.85546875" customWidth="1"/>
    <col min="15368" max="15368" width="15" bestFit="1" customWidth="1"/>
    <col min="15369" max="15369" width="11.7109375" bestFit="1" customWidth="1"/>
    <col min="15370" max="15370" width="13.140625" customWidth="1"/>
    <col min="15372" max="15372" width="28.85546875" bestFit="1" customWidth="1"/>
    <col min="15617" max="15617" width="12.5703125" customWidth="1"/>
    <col min="15618" max="15618" width="28.85546875" customWidth="1"/>
    <col min="15619" max="15619" width="13.42578125" bestFit="1" customWidth="1"/>
    <col min="15620" max="15620" width="15" bestFit="1" customWidth="1"/>
    <col min="15621" max="15621" width="15.85546875" customWidth="1"/>
    <col min="15622" max="15622" width="18.140625" customWidth="1"/>
    <col min="15623" max="15623" width="17.85546875" customWidth="1"/>
    <col min="15624" max="15624" width="15" bestFit="1" customWidth="1"/>
    <col min="15625" max="15625" width="11.7109375" bestFit="1" customWidth="1"/>
    <col min="15626" max="15626" width="13.140625" customWidth="1"/>
    <col min="15628" max="15628" width="28.85546875" bestFit="1" customWidth="1"/>
    <col min="15873" max="15873" width="12.5703125" customWidth="1"/>
    <col min="15874" max="15874" width="28.85546875" customWidth="1"/>
    <col min="15875" max="15875" width="13.42578125" bestFit="1" customWidth="1"/>
    <col min="15876" max="15876" width="15" bestFit="1" customWidth="1"/>
    <col min="15877" max="15877" width="15.85546875" customWidth="1"/>
    <col min="15878" max="15878" width="18.140625" customWidth="1"/>
    <col min="15879" max="15879" width="17.85546875" customWidth="1"/>
    <col min="15880" max="15880" width="15" bestFit="1" customWidth="1"/>
    <col min="15881" max="15881" width="11.7109375" bestFit="1" customWidth="1"/>
    <col min="15882" max="15882" width="13.140625" customWidth="1"/>
    <col min="15884" max="15884" width="28.85546875" bestFit="1" customWidth="1"/>
    <col min="16129" max="16129" width="12.5703125" customWidth="1"/>
    <col min="16130" max="16130" width="28.85546875" customWidth="1"/>
    <col min="16131" max="16131" width="13.42578125" bestFit="1" customWidth="1"/>
    <col min="16132" max="16132" width="15" bestFit="1" customWidth="1"/>
    <col min="16133" max="16133" width="15.85546875" customWidth="1"/>
    <col min="16134" max="16134" width="18.140625" customWidth="1"/>
    <col min="16135" max="16135" width="17.85546875" customWidth="1"/>
    <col min="16136" max="16136" width="15" bestFit="1" customWidth="1"/>
    <col min="16137" max="16137" width="11.7109375" bestFit="1" customWidth="1"/>
    <col min="16138" max="16138" width="13.140625" customWidth="1"/>
    <col min="16140" max="16140" width="28.85546875" bestFit="1" customWidth="1"/>
  </cols>
  <sheetData>
    <row r="1" spans="2:19" ht="15.75" thickBot="1" x14ac:dyDescent="0.3"/>
    <row r="2" spans="2:19" ht="18.75" thickBot="1" x14ac:dyDescent="0.3">
      <c r="B2" s="21"/>
      <c r="C2" s="22"/>
      <c r="D2" s="347" t="s">
        <v>41</v>
      </c>
      <c r="E2" s="348"/>
      <c r="F2" s="348"/>
      <c r="G2" s="349"/>
    </row>
    <row r="3" spans="2:19" x14ac:dyDescent="0.25">
      <c r="B3" s="23"/>
      <c r="C3" s="24"/>
      <c r="D3" s="25"/>
      <c r="E3" s="23"/>
      <c r="F3" s="23"/>
      <c r="G3" s="23"/>
      <c r="H3" s="23"/>
      <c r="I3" s="26"/>
      <c r="J3" s="23"/>
      <c r="K3" s="23"/>
    </row>
    <row r="4" spans="2:19" ht="15.75" x14ac:dyDescent="0.25">
      <c r="B4" s="350" t="s">
        <v>42</v>
      </c>
      <c r="C4" s="351"/>
      <c r="D4" s="351"/>
      <c r="E4" s="351"/>
      <c r="F4" s="351"/>
      <c r="G4" s="351"/>
      <c r="H4" s="351"/>
      <c r="I4" s="351"/>
      <c r="J4" s="351"/>
      <c r="K4" s="23"/>
      <c r="L4" s="23"/>
    </row>
    <row r="5" spans="2:19" x14ac:dyDescent="0.25">
      <c r="B5" s="27" t="s">
        <v>43</v>
      </c>
      <c r="C5" s="28"/>
      <c r="D5" s="28"/>
      <c r="E5" s="28"/>
      <c r="F5" s="28"/>
      <c r="G5" s="28"/>
      <c r="H5" s="28"/>
      <c r="I5" s="28"/>
      <c r="J5" s="29"/>
      <c r="K5" s="30"/>
    </row>
    <row r="6" spans="2:19" x14ac:dyDescent="0.25">
      <c r="B6" s="197"/>
      <c r="C6" s="198"/>
      <c r="D6" s="352" t="s">
        <v>44</v>
      </c>
      <c r="E6" s="352"/>
      <c r="F6" s="352"/>
      <c r="G6" s="352"/>
      <c r="H6" s="207" t="s">
        <v>45</v>
      </c>
      <c r="I6" s="207"/>
      <c r="J6" s="353" t="s">
        <v>46</v>
      </c>
      <c r="K6" s="30"/>
      <c r="L6" s="31"/>
      <c r="M6" s="31"/>
      <c r="N6" s="31"/>
      <c r="O6" s="31"/>
      <c r="P6" s="31"/>
      <c r="Q6" s="31"/>
      <c r="R6" s="31"/>
      <c r="S6" s="31"/>
    </row>
    <row r="7" spans="2:19" x14ac:dyDescent="0.25">
      <c r="B7" s="193" t="s">
        <v>47</v>
      </c>
      <c r="C7" s="168" t="s">
        <v>48</v>
      </c>
      <c r="D7" s="168" t="s">
        <v>49</v>
      </c>
      <c r="E7" s="168" t="s">
        <v>50</v>
      </c>
      <c r="F7" s="168" t="s">
        <v>51</v>
      </c>
      <c r="G7" s="168" t="s">
        <v>52</v>
      </c>
      <c r="H7" s="168" t="s">
        <v>53</v>
      </c>
      <c r="I7" s="168" t="s">
        <v>54</v>
      </c>
      <c r="J7" s="353"/>
      <c r="K7" s="30"/>
      <c r="L7" s="31"/>
      <c r="M7" s="31"/>
      <c r="N7" s="31"/>
      <c r="O7" s="31"/>
      <c r="P7" s="31"/>
      <c r="Q7" s="31"/>
      <c r="R7" s="31"/>
      <c r="S7" s="31"/>
    </row>
    <row r="8" spans="2:19" x14ac:dyDescent="0.25">
      <c r="B8" s="193" t="s">
        <v>55</v>
      </c>
      <c r="C8" s="193" t="s">
        <v>56</v>
      </c>
      <c r="D8" s="193" t="s">
        <v>57</v>
      </c>
      <c r="E8" s="197"/>
      <c r="F8" s="197"/>
      <c r="G8" s="197"/>
      <c r="H8" s="193" t="s">
        <v>58</v>
      </c>
      <c r="I8" s="193" t="s">
        <v>59</v>
      </c>
      <c r="J8" s="353"/>
      <c r="K8" s="30"/>
      <c r="L8" s="31"/>
      <c r="M8" s="31"/>
      <c r="N8" s="31"/>
      <c r="O8" s="31"/>
      <c r="P8" s="31"/>
      <c r="Q8" s="31"/>
      <c r="R8" s="31"/>
      <c r="S8" s="31"/>
    </row>
    <row r="9" spans="2:19" x14ac:dyDescent="0.25">
      <c r="B9" s="195">
        <v>0</v>
      </c>
      <c r="C9" s="199"/>
      <c r="D9" s="36"/>
      <c r="E9" s="200">
        <f>EstructuraFinanc!F14</f>
        <v>1353325</v>
      </c>
      <c r="F9" s="201">
        <f>EstructuraFinanc!F21</f>
        <v>95000</v>
      </c>
      <c r="G9" s="201">
        <f>EstructuraFinanc!F26</f>
        <v>675340</v>
      </c>
      <c r="H9" s="202"/>
      <c r="I9" s="202"/>
      <c r="J9" s="203">
        <f t="shared" ref="J9:J14" si="0">C9-D9-E9-F9-G9+H9+I9</f>
        <v>-2123665</v>
      </c>
      <c r="K9" s="30"/>
      <c r="L9" s="32"/>
      <c r="M9" s="33"/>
      <c r="N9" s="33"/>
      <c r="O9" s="33"/>
      <c r="P9" s="33"/>
      <c r="Q9" s="7"/>
      <c r="R9" s="31"/>
      <c r="S9" s="31"/>
    </row>
    <row r="10" spans="2:19" x14ac:dyDescent="0.25">
      <c r="B10" s="195">
        <v>1</v>
      </c>
      <c r="C10" s="34">
        <f>Ingresos!C14</f>
        <v>2214000</v>
      </c>
      <c r="D10" s="34">
        <f>Edo.Res!C29</f>
        <v>1678612.5</v>
      </c>
      <c r="E10" s="35"/>
      <c r="F10" s="35"/>
      <c r="G10" s="35"/>
      <c r="H10" s="36"/>
      <c r="I10" s="36"/>
      <c r="J10" s="203">
        <f t="shared" si="0"/>
        <v>535387.5</v>
      </c>
      <c r="K10" s="30"/>
      <c r="L10" s="37"/>
      <c r="M10" s="37"/>
      <c r="N10" s="37"/>
      <c r="O10" s="37"/>
      <c r="P10" s="37"/>
      <c r="Q10" s="38"/>
      <c r="R10" s="31"/>
      <c r="S10" s="31"/>
    </row>
    <row r="11" spans="2:19" x14ac:dyDescent="0.25">
      <c r="B11" s="195">
        <v>2</v>
      </c>
      <c r="C11" s="34">
        <f>Ingresos!D14</f>
        <v>2280862.8000000003</v>
      </c>
      <c r="D11" s="34">
        <f>Edo.Res!D29</f>
        <v>1699870.905</v>
      </c>
      <c r="E11" s="36"/>
      <c r="F11" s="36"/>
      <c r="G11" s="36"/>
      <c r="H11" s="36"/>
      <c r="I11" s="36"/>
      <c r="J11" s="203">
        <f t="shared" si="0"/>
        <v>580991.89500000025</v>
      </c>
      <c r="K11" s="30"/>
      <c r="L11" s="31"/>
      <c r="M11" s="31"/>
      <c r="N11" s="31"/>
      <c r="O11" s="31"/>
      <c r="P11" s="31"/>
      <c r="Q11" s="31"/>
      <c r="R11" s="31"/>
      <c r="S11" s="31"/>
    </row>
    <row r="12" spans="2:19" x14ac:dyDescent="0.25">
      <c r="B12" s="195">
        <v>3</v>
      </c>
      <c r="C12" s="34">
        <f>Ingresos!E14</f>
        <v>2349744.8565600007</v>
      </c>
      <c r="D12" s="34">
        <f>Edo.Res!E29</f>
        <v>1721476.9569060002</v>
      </c>
      <c r="E12" s="36"/>
      <c r="F12" s="36"/>
      <c r="G12" s="36"/>
      <c r="H12" s="36"/>
      <c r="I12" s="36"/>
      <c r="J12" s="203">
        <f t="shared" si="0"/>
        <v>628267.89965400053</v>
      </c>
      <c r="K12" s="30"/>
      <c r="L12" s="31"/>
      <c r="M12" s="31"/>
      <c r="N12" s="31"/>
      <c r="O12" s="31"/>
      <c r="P12" s="31"/>
      <c r="Q12" s="31"/>
      <c r="R12" s="31"/>
      <c r="S12" s="31"/>
    </row>
    <row r="13" spans="2:19" x14ac:dyDescent="0.25">
      <c r="B13" s="195">
        <v>4</v>
      </c>
      <c r="C13" s="34">
        <f>Ingresos!F14</f>
        <v>2420707.1512281122</v>
      </c>
      <c r="D13" s="34">
        <f>Edo.Res!F29</f>
        <v>1743438.2110853111</v>
      </c>
      <c r="E13" s="36"/>
      <c r="F13" s="36"/>
      <c r="G13" s="36"/>
      <c r="H13" s="36"/>
      <c r="I13" s="36"/>
      <c r="J13" s="203">
        <f t="shared" si="0"/>
        <v>677268.94014280103</v>
      </c>
      <c r="K13" s="30"/>
      <c r="L13" s="31"/>
      <c r="M13" s="31"/>
      <c r="N13" s="31"/>
      <c r="O13" s="31"/>
      <c r="P13" s="31"/>
      <c r="Q13" s="31"/>
      <c r="R13" s="31"/>
      <c r="S13" s="31"/>
    </row>
    <row r="14" spans="2:19" ht="16.5" customHeight="1" x14ac:dyDescent="0.25">
      <c r="B14" s="195">
        <v>5</v>
      </c>
      <c r="C14" s="34">
        <f>Ingresos!G14</f>
        <v>2493812.5071952017</v>
      </c>
      <c r="D14" s="34">
        <f>Edo.Res!G29</f>
        <v>1765762.4216416453</v>
      </c>
      <c r="E14" s="36"/>
      <c r="F14" s="36"/>
      <c r="G14" s="36"/>
      <c r="H14" s="288">
        <f>Deprec!J14</f>
        <v>845973.80952380947</v>
      </c>
      <c r="I14" s="36"/>
      <c r="J14" s="203">
        <f t="shared" si="0"/>
        <v>1574023.8950773659</v>
      </c>
      <c r="K14" s="30"/>
      <c r="L14" s="31"/>
      <c r="M14" s="31"/>
      <c r="N14" s="31"/>
      <c r="O14" s="31"/>
      <c r="P14" s="31"/>
      <c r="Q14" s="31"/>
      <c r="R14" s="31"/>
      <c r="S14" s="31"/>
    </row>
    <row r="15" spans="2:19" x14ac:dyDescent="0.25">
      <c r="B15" s="39"/>
      <c r="C15" s="40"/>
      <c r="D15" s="40"/>
      <c r="E15" s="41"/>
      <c r="F15" s="41"/>
      <c r="G15" s="41"/>
      <c r="H15" s="31"/>
      <c r="I15" s="42"/>
      <c r="J15" s="196"/>
      <c r="K15" s="30"/>
    </row>
    <row r="16" spans="2:19" x14ac:dyDescent="0.25">
      <c r="B16" s="39"/>
      <c r="C16" s="40"/>
      <c r="D16" s="40"/>
      <c r="E16" s="41"/>
      <c r="F16" s="41"/>
      <c r="G16" s="41"/>
      <c r="H16" s="42"/>
      <c r="I16" s="42"/>
      <c r="J16" s="29"/>
      <c r="K16" s="30"/>
    </row>
    <row r="17" spans="2:11" x14ac:dyDescent="0.25">
      <c r="B17" s="43" t="s">
        <v>60</v>
      </c>
      <c r="C17" s="44"/>
      <c r="D17" s="44"/>
      <c r="E17" s="44"/>
      <c r="F17" s="45"/>
      <c r="G17" s="45"/>
      <c r="H17" s="45"/>
      <c r="I17" s="45"/>
      <c r="J17" s="29"/>
      <c r="K17" s="30"/>
    </row>
    <row r="18" spans="2:11" x14ac:dyDescent="0.25">
      <c r="B18" s="193" t="s">
        <v>61</v>
      </c>
      <c r="C18" s="168" t="s">
        <v>62</v>
      </c>
      <c r="D18" s="168" t="s">
        <v>63</v>
      </c>
      <c r="E18" s="168" t="s">
        <v>64</v>
      </c>
      <c r="F18" s="168" t="s">
        <v>62</v>
      </c>
      <c r="G18" s="168" t="s">
        <v>63</v>
      </c>
      <c r="H18" s="168" t="s">
        <v>65</v>
      </c>
      <c r="I18" s="46"/>
      <c r="J18" s="29"/>
      <c r="K18" s="30"/>
    </row>
    <row r="19" spans="2:11" x14ac:dyDescent="0.25">
      <c r="B19" s="193" t="s">
        <v>66</v>
      </c>
      <c r="C19" s="168" t="s">
        <v>57</v>
      </c>
      <c r="D19" s="168" t="s">
        <v>57</v>
      </c>
      <c r="E19" s="168" t="s">
        <v>67</v>
      </c>
      <c r="F19" s="168" t="s">
        <v>68</v>
      </c>
      <c r="G19" s="168" t="s">
        <v>68</v>
      </c>
      <c r="H19" s="168" t="s">
        <v>69</v>
      </c>
      <c r="I19" s="192"/>
      <c r="J19" s="29"/>
      <c r="K19" s="30"/>
    </row>
    <row r="20" spans="2:11" x14ac:dyDescent="0.25">
      <c r="B20" s="193" t="s">
        <v>55</v>
      </c>
      <c r="C20" s="193" t="s">
        <v>70</v>
      </c>
      <c r="D20" s="193" t="s">
        <v>70</v>
      </c>
      <c r="E20" s="194">
        <v>0.1</v>
      </c>
      <c r="F20" s="193" t="s">
        <v>70</v>
      </c>
      <c r="G20" s="193" t="s">
        <v>70</v>
      </c>
      <c r="H20" s="193" t="s">
        <v>70</v>
      </c>
      <c r="I20" s="46"/>
      <c r="J20" s="29"/>
      <c r="K20" s="30"/>
    </row>
    <row r="21" spans="2:11" x14ac:dyDescent="0.25">
      <c r="B21" s="195">
        <v>0</v>
      </c>
      <c r="C21" s="36">
        <f t="shared" ref="C21:C26" si="1">SUM(D9,E9,F9,G9)</f>
        <v>2123665</v>
      </c>
      <c r="D21" s="36">
        <f t="shared" ref="D21:D26" si="2">C9+H9+I9</f>
        <v>0</v>
      </c>
      <c r="E21" s="47">
        <f>1/(1+$E$20)^B21</f>
        <v>1</v>
      </c>
      <c r="F21" s="34">
        <f t="shared" ref="F21:F26" si="3">+E21*C21</f>
        <v>2123665</v>
      </c>
      <c r="G21" s="34">
        <f t="shared" ref="G21:G26" si="4">+E21*D21</f>
        <v>0</v>
      </c>
      <c r="H21" s="34">
        <f t="shared" ref="H21:H26" si="5">+G21-F21</f>
        <v>-2123665</v>
      </c>
      <c r="I21" s="45"/>
      <c r="J21" s="29"/>
      <c r="K21" s="30"/>
    </row>
    <row r="22" spans="2:11" x14ac:dyDescent="0.25">
      <c r="B22" s="195">
        <v>1</v>
      </c>
      <c r="C22" s="36">
        <f t="shared" si="1"/>
        <v>1678612.5</v>
      </c>
      <c r="D22" s="36">
        <f t="shared" si="2"/>
        <v>2214000</v>
      </c>
      <c r="E22" s="47">
        <f>1/(1+$E$20)^B22</f>
        <v>0.90909090909090906</v>
      </c>
      <c r="F22" s="34">
        <f t="shared" si="3"/>
        <v>1526011.3636363635</v>
      </c>
      <c r="G22" s="34">
        <f t="shared" si="4"/>
        <v>2012727.2727272727</v>
      </c>
      <c r="H22" s="34">
        <f t="shared" si="5"/>
        <v>486715.90909090918</v>
      </c>
      <c r="I22" s="45"/>
      <c r="J22" s="29"/>
      <c r="K22" s="30"/>
    </row>
    <row r="23" spans="2:11" x14ac:dyDescent="0.25">
      <c r="B23" s="195">
        <v>2</v>
      </c>
      <c r="C23" s="36">
        <f t="shared" si="1"/>
        <v>1699870.905</v>
      </c>
      <c r="D23" s="36">
        <f t="shared" si="2"/>
        <v>2280862.8000000003</v>
      </c>
      <c r="E23" s="47">
        <f t="shared" ref="E23:E26" si="6">1/(1+$E$20)^B23</f>
        <v>0.82644628099173545</v>
      </c>
      <c r="F23" s="34">
        <f t="shared" si="3"/>
        <v>1404851.9876033056</v>
      </c>
      <c r="G23" s="34">
        <f t="shared" si="4"/>
        <v>1885010.5785123967</v>
      </c>
      <c r="H23" s="34">
        <f t="shared" si="5"/>
        <v>480158.59090909106</v>
      </c>
      <c r="I23" s="45"/>
      <c r="J23" s="29"/>
      <c r="K23" s="30"/>
    </row>
    <row r="24" spans="2:11" x14ac:dyDescent="0.25">
      <c r="B24" s="195">
        <v>3</v>
      </c>
      <c r="C24" s="36">
        <f t="shared" si="1"/>
        <v>1721476.9569060002</v>
      </c>
      <c r="D24" s="36">
        <f t="shared" si="2"/>
        <v>2349744.8565600007</v>
      </c>
      <c r="E24" s="47">
        <f t="shared" si="6"/>
        <v>0.75131480090157754</v>
      </c>
      <c r="F24" s="34">
        <f t="shared" si="3"/>
        <v>1293371.1171344852</v>
      </c>
      <c r="G24" s="34">
        <f t="shared" si="4"/>
        <v>1765398.0890758827</v>
      </c>
      <c r="H24" s="34">
        <f t="shared" si="5"/>
        <v>472026.97194139753</v>
      </c>
      <c r="I24" s="45"/>
      <c r="J24" s="29"/>
      <c r="K24" s="30"/>
    </row>
    <row r="25" spans="2:11" x14ac:dyDescent="0.25">
      <c r="B25" s="195">
        <v>4</v>
      </c>
      <c r="C25" s="36">
        <f t="shared" si="1"/>
        <v>1743438.2110853111</v>
      </c>
      <c r="D25" s="36">
        <f t="shared" si="2"/>
        <v>2420707.1512281122</v>
      </c>
      <c r="E25" s="47">
        <f t="shared" si="6"/>
        <v>0.68301345536507052</v>
      </c>
      <c r="F25" s="34">
        <f t="shared" si="3"/>
        <v>1190791.7567688755</v>
      </c>
      <c r="G25" s="34">
        <f t="shared" si="4"/>
        <v>1653375.5557872492</v>
      </c>
      <c r="H25" s="34">
        <f t="shared" si="5"/>
        <v>462583.79901837371</v>
      </c>
      <c r="I25" s="45"/>
      <c r="J25" s="29"/>
      <c r="K25" s="30"/>
    </row>
    <row r="26" spans="2:11" x14ac:dyDescent="0.25">
      <c r="B26" s="195">
        <v>5</v>
      </c>
      <c r="C26" s="36">
        <f t="shared" si="1"/>
        <v>1765762.4216416453</v>
      </c>
      <c r="D26" s="36">
        <f t="shared" si="2"/>
        <v>3339786.3167190114</v>
      </c>
      <c r="E26" s="47">
        <f t="shared" si="6"/>
        <v>0.62092132305915493</v>
      </c>
      <c r="F26" s="34">
        <f t="shared" si="3"/>
        <v>1096399.5390538678</v>
      </c>
      <c r="G26" s="34">
        <f t="shared" si="4"/>
        <v>2073744.5385120304</v>
      </c>
      <c r="H26" s="34">
        <f t="shared" si="5"/>
        <v>977344.99945816258</v>
      </c>
      <c r="I26" s="45"/>
      <c r="J26" s="29"/>
      <c r="K26" s="30"/>
    </row>
    <row r="27" spans="2:11" x14ac:dyDescent="0.25">
      <c r="B27" s="204" t="s">
        <v>11</v>
      </c>
      <c r="C27" s="205">
        <f>SUM(C21:C25)</f>
        <v>8967063.5729913116</v>
      </c>
      <c r="D27" s="205">
        <f>SUM(D21:D26)</f>
        <v>12605101.124507125</v>
      </c>
      <c r="E27" s="205"/>
      <c r="F27" s="206">
        <f>SUM(F21:F26)</f>
        <v>8635090.7641968988</v>
      </c>
      <c r="G27" s="206">
        <f>SUM(G21:G26)</f>
        <v>9390256.0346148312</v>
      </c>
      <c r="H27" s="206">
        <f>SUM(H21:H26)</f>
        <v>755165.27041793405</v>
      </c>
      <c r="I27" s="48"/>
      <c r="J27" s="49"/>
      <c r="K27" s="30"/>
    </row>
    <row r="28" spans="2:11" x14ac:dyDescent="0.25">
      <c r="B28" s="50"/>
      <c r="C28" s="51"/>
      <c r="D28" s="51"/>
      <c r="E28" s="51"/>
      <c r="F28" s="51"/>
      <c r="G28" s="51"/>
      <c r="H28" s="51"/>
      <c r="I28" s="52"/>
      <c r="J28" s="53"/>
      <c r="K28" s="30"/>
    </row>
    <row r="29" spans="2:11" x14ac:dyDescent="0.25">
      <c r="B29" s="45"/>
      <c r="C29" s="54" t="s">
        <v>71</v>
      </c>
      <c r="D29" s="54"/>
      <c r="E29" s="54"/>
      <c r="F29" s="54"/>
      <c r="G29" s="54"/>
      <c r="H29" s="54"/>
      <c r="I29" s="45"/>
      <c r="J29" s="29"/>
      <c r="K29" s="30"/>
    </row>
    <row r="30" spans="2:11" x14ac:dyDescent="0.25">
      <c r="B30" s="45"/>
      <c r="C30" s="45"/>
      <c r="D30" s="208" t="s">
        <v>72</v>
      </c>
      <c r="E30" s="209">
        <f>H27</f>
        <v>755165.27041793405</v>
      </c>
      <c r="F30" s="55" t="str">
        <f>IF(E30&gt;0,"Se acepta","Se rechaza")</f>
        <v>Se acepta</v>
      </c>
      <c r="G30" s="56"/>
      <c r="H30" s="56"/>
      <c r="I30" s="45"/>
      <c r="J30" s="29"/>
      <c r="K30" s="30"/>
    </row>
    <row r="31" spans="2:11" x14ac:dyDescent="0.25">
      <c r="B31" s="45"/>
      <c r="C31" s="45"/>
      <c r="D31" s="208" t="s">
        <v>73</v>
      </c>
      <c r="E31" s="210">
        <f>IRR((D21:D26)-(C21:C26))</f>
        <v>0.20873336383285945</v>
      </c>
      <c r="F31" s="55" t="str">
        <f>IF(E31&gt;E20,"Se acepta","Se rechaza")</f>
        <v>Se acepta</v>
      </c>
      <c r="G31" s="56"/>
      <c r="H31" s="56"/>
      <c r="I31" s="45"/>
      <c r="J31" s="29"/>
      <c r="K31" s="30"/>
    </row>
    <row r="32" spans="2:11" x14ac:dyDescent="0.25">
      <c r="B32" s="45"/>
      <c r="C32" s="45"/>
      <c r="D32" s="208" t="s">
        <v>74</v>
      </c>
      <c r="E32" s="211">
        <f>G27/F27</f>
        <v>1.0874530784955989</v>
      </c>
      <c r="F32" s="55" t="str">
        <f>IF(E32&gt;=1,"Se acepta","Se rechaza")</f>
        <v>Se acepta</v>
      </c>
      <c r="G32" s="56"/>
      <c r="H32" s="56"/>
      <c r="I32" s="28"/>
      <c r="J32" s="29"/>
      <c r="K32" s="30"/>
    </row>
    <row r="33" spans="2:11" x14ac:dyDescent="0.25">
      <c r="B33" s="30"/>
      <c r="C33" s="30"/>
      <c r="D33" s="30"/>
      <c r="E33" s="30"/>
      <c r="F33" s="30"/>
      <c r="G33" s="30"/>
      <c r="H33" s="30"/>
      <c r="I33" s="30"/>
      <c r="J33" s="30"/>
      <c r="K33" s="30"/>
    </row>
    <row r="34" spans="2:11" x14ac:dyDescent="0.25">
      <c r="B34" s="30"/>
      <c r="C34" s="30"/>
      <c r="D34" s="30"/>
      <c r="E34" s="30"/>
      <c r="F34" s="30"/>
      <c r="G34" s="30"/>
      <c r="H34" s="30"/>
      <c r="I34" s="57" t="s">
        <v>75</v>
      </c>
      <c r="J34" s="30"/>
      <c r="K34" s="30"/>
    </row>
    <row r="35" spans="2:11" x14ac:dyDescent="0.25">
      <c r="B35" s="30"/>
      <c r="C35" s="30"/>
      <c r="D35" s="30"/>
      <c r="E35" s="30"/>
      <c r="F35" s="30"/>
      <c r="G35" s="30"/>
      <c r="H35" s="30"/>
      <c r="I35" s="30"/>
      <c r="J35" s="30"/>
      <c r="K35" s="30"/>
    </row>
    <row r="36" spans="2:11" x14ac:dyDescent="0.25">
      <c r="B36" s="30"/>
      <c r="C36" s="30"/>
      <c r="D36" s="30"/>
      <c r="E36" s="30"/>
      <c r="F36" s="30"/>
      <c r="G36" s="30"/>
      <c r="H36" s="30"/>
      <c r="I36" s="30"/>
      <c r="J36" s="30"/>
      <c r="K36" s="30"/>
    </row>
    <row r="37" spans="2:11" x14ac:dyDescent="0.25">
      <c r="B37" s="30"/>
      <c r="C37" s="30"/>
      <c r="D37" s="30"/>
      <c r="E37" s="30"/>
      <c r="F37" s="30"/>
      <c r="G37" s="30"/>
      <c r="H37" s="30"/>
      <c r="I37" s="30"/>
      <c r="J37" s="30"/>
      <c r="K37" s="30"/>
    </row>
    <row r="38" spans="2:11" x14ac:dyDescent="0.25">
      <c r="B38" s="30"/>
      <c r="C38" s="30"/>
      <c r="D38" s="30"/>
      <c r="E38" s="30"/>
      <c r="F38" s="30"/>
      <c r="G38" s="30"/>
      <c r="H38" s="30"/>
      <c r="I38" s="30"/>
      <c r="J38" s="30"/>
      <c r="K38" s="30"/>
    </row>
    <row r="39" spans="2:11" x14ac:dyDescent="0.25">
      <c r="B39" s="30"/>
      <c r="C39" s="30"/>
      <c r="D39" s="30"/>
      <c r="E39" s="30"/>
      <c r="F39" s="30"/>
      <c r="G39" s="30"/>
      <c r="H39" s="30"/>
      <c r="I39" s="30"/>
      <c r="J39" s="30"/>
      <c r="K39" s="30"/>
    </row>
    <row r="40" spans="2:11" x14ac:dyDescent="0.25">
      <c r="B40" s="30"/>
      <c r="C40" s="30"/>
      <c r="D40" s="30"/>
      <c r="E40" s="30"/>
      <c r="F40" s="30"/>
      <c r="G40" s="30"/>
      <c r="H40" s="30"/>
      <c r="I40" s="30"/>
      <c r="J40" s="30"/>
      <c r="K40" s="30"/>
    </row>
    <row r="41" spans="2:11" x14ac:dyDescent="0.25">
      <c r="B41" s="30"/>
      <c r="C41" s="30"/>
      <c r="D41" s="30"/>
      <c r="E41" s="30"/>
      <c r="F41" s="30"/>
      <c r="G41" s="30"/>
      <c r="H41" s="30"/>
      <c r="I41" s="30"/>
      <c r="J41" s="30"/>
      <c r="K41" s="30"/>
    </row>
    <row r="42" spans="2:11" x14ac:dyDescent="0.25">
      <c r="B42" s="30"/>
      <c r="C42" s="30"/>
      <c r="D42" s="30"/>
      <c r="E42" s="30"/>
      <c r="F42" s="30"/>
      <c r="G42" s="30"/>
      <c r="H42" s="30"/>
      <c r="I42" s="30"/>
      <c r="J42" s="30"/>
      <c r="K42" s="30"/>
    </row>
    <row r="43" spans="2:11" x14ac:dyDescent="0.25">
      <c r="B43" s="30"/>
      <c r="C43" s="30"/>
      <c r="D43" s="30"/>
      <c r="E43" s="30"/>
      <c r="F43" s="30"/>
      <c r="G43" s="30"/>
      <c r="H43" s="30"/>
      <c r="I43" s="30"/>
      <c r="J43" s="30"/>
      <c r="K43" s="30"/>
    </row>
    <row r="44" spans="2:11" x14ac:dyDescent="0.25">
      <c r="B44" s="30"/>
      <c r="C44" s="30"/>
      <c r="D44" s="30"/>
      <c r="E44" s="30"/>
      <c r="F44" s="30"/>
      <c r="G44" s="30"/>
      <c r="H44" s="30"/>
      <c r="I44" s="30"/>
      <c r="J44" s="30"/>
      <c r="K44" s="30"/>
    </row>
    <row r="45" spans="2:11" x14ac:dyDescent="0.25">
      <c r="B45" s="30"/>
      <c r="C45" s="30"/>
      <c r="D45" s="30"/>
      <c r="E45" s="30"/>
      <c r="F45" s="30"/>
      <c r="G45" s="30"/>
      <c r="H45" s="30"/>
      <c r="I45" s="30"/>
      <c r="J45" s="30"/>
      <c r="K45" s="30"/>
    </row>
    <row r="46" spans="2:11" x14ac:dyDescent="0.25">
      <c r="B46" s="30"/>
      <c r="C46" s="30"/>
      <c r="D46" s="30"/>
      <c r="E46" s="30"/>
      <c r="F46" s="30"/>
      <c r="G46" s="30"/>
      <c r="H46" s="30"/>
      <c r="I46" s="30"/>
      <c r="J46" s="30"/>
      <c r="K46" s="30"/>
    </row>
    <row r="47" spans="2:11" x14ac:dyDescent="0.25">
      <c r="B47" s="30"/>
      <c r="C47" s="30"/>
      <c r="D47" s="30"/>
      <c r="E47" s="30"/>
      <c r="F47" s="30"/>
      <c r="G47" s="30"/>
      <c r="H47" s="30"/>
      <c r="I47" s="30"/>
      <c r="J47" s="30"/>
      <c r="K47" s="30"/>
    </row>
    <row r="48" spans="2:11" x14ac:dyDescent="0.25">
      <c r="B48" s="30"/>
      <c r="C48" s="30"/>
      <c r="D48" s="30"/>
      <c r="E48" s="30"/>
      <c r="F48" s="30"/>
      <c r="G48" s="30"/>
      <c r="H48" s="30"/>
      <c r="I48" s="30"/>
      <c r="J48" s="30"/>
      <c r="K48" s="30"/>
    </row>
    <row r="49" spans="2:11" x14ac:dyDescent="0.25">
      <c r="B49" s="30"/>
      <c r="C49" s="30"/>
      <c r="D49" s="30"/>
      <c r="E49" s="30"/>
      <c r="F49" s="30"/>
      <c r="G49" s="30"/>
      <c r="H49" s="30"/>
      <c r="I49" s="30"/>
      <c r="J49" s="30"/>
      <c r="K49" s="30"/>
    </row>
    <row r="50" spans="2:11" x14ac:dyDescent="0.25">
      <c r="B50" s="30"/>
      <c r="C50" s="30"/>
      <c r="D50" s="30"/>
      <c r="E50" s="30"/>
      <c r="F50" s="30"/>
      <c r="G50" s="30"/>
      <c r="H50" s="30"/>
      <c r="I50" s="30"/>
      <c r="J50" s="30"/>
      <c r="K50" s="30"/>
    </row>
  </sheetData>
  <mergeCells count="4">
    <mergeCell ref="D2:G2"/>
    <mergeCell ref="B4:J4"/>
    <mergeCell ref="D6:G6"/>
    <mergeCell ref="J6:J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20"/>
  <sheetViews>
    <sheetView showGridLines="0" zoomScale="85" zoomScaleNormal="85" workbookViewId="0">
      <selection activeCell="I23" sqref="I23"/>
    </sheetView>
  </sheetViews>
  <sheetFormatPr baseColWidth="10" defaultRowHeight="15" x14ac:dyDescent="0.25"/>
  <cols>
    <col min="2" max="2" width="17.42578125" bestFit="1" customWidth="1"/>
    <col min="3" max="3" width="12.28515625" bestFit="1" customWidth="1"/>
    <col min="4" max="4" width="12.42578125" bestFit="1" customWidth="1"/>
    <col min="5" max="6" width="13" bestFit="1" customWidth="1"/>
    <col min="7" max="7" width="14" bestFit="1" customWidth="1"/>
    <col min="8" max="8" width="13.7109375" bestFit="1" customWidth="1"/>
    <col min="9" max="9" width="12.7109375" bestFit="1" customWidth="1"/>
    <col min="10" max="10" width="12.42578125" bestFit="1" customWidth="1"/>
    <col min="11" max="11" width="13.28515625" bestFit="1" customWidth="1"/>
    <col min="12" max="12" width="13" bestFit="1" customWidth="1"/>
    <col min="13" max="13" width="12.5703125" customWidth="1"/>
    <col min="14" max="14" width="14" customWidth="1"/>
    <col min="15" max="15" width="12.7109375" bestFit="1" customWidth="1"/>
  </cols>
  <sheetData>
    <row r="3" spans="2:15" ht="15.75" thickBot="1" x14ac:dyDescent="0.3">
      <c r="B3" s="354" t="s">
        <v>76</v>
      </c>
      <c r="C3" s="355"/>
      <c r="D3" s="355"/>
      <c r="E3" s="355"/>
      <c r="F3" s="355"/>
      <c r="G3" s="355"/>
      <c r="H3" t="s">
        <v>124</v>
      </c>
    </row>
    <row r="4" spans="2:15" ht="15.75" thickBot="1" x14ac:dyDescent="0.3">
      <c r="B4" s="356" t="s">
        <v>77</v>
      </c>
      <c r="C4" s="358" t="s">
        <v>78</v>
      </c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60"/>
    </row>
    <row r="5" spans="2:15" ht="15.75" thickBot="1" x14ac:dyDescent="0.3">
      <c r="B5" s="357"/>
      <c r="C5" s="139" t="s">
        <v>79</v>
      </c>
      <c r="D5" s="139" t="s">
        <v>0</v>
      </c>
      <c r="E5" s="139" t="s">
        <v>1</v>
      </c>
      <c r="F5" s="139" t="s">
        <v>2</v>
      </c>
      <c r="G5" s="139" t="s">
        <v>3</v>
      </c>
      <c r="H5" s="140" t="s">
        <v>4</v>
      </c>
      <c r="I5" s="141" t="s">
        <v>5</v>
      </c>
      <c r="J5" s="141" t="s">
        <v>6</v>
      </c>
      <c r="K5" s="141" t="s">
        <v>7</v>
      </c>
      <c r="L5" s="141" t="s">
        <v>8</v>
      </c>
      <c r="M5" s="141" t="s">
        <v>9</v>
      </c>
      <c r="N5" s="141" t="s">
        <v>10</v>
      </c>
      <c r="O5" s="141" t="s">
        <v>80</v>
      </c>
    </row>
    <row r="6" spans="2:15" x14ac:dyDescent="0.25">
      <c r="B6" s="58" t="s">
        <v>81</v>
      </c>
      <c r="C6" s="11"/>
      <c r="D6" s="11"/>
      <c r="E6" s="11"/>
      <c r="F6" s="11"/>
      <c r="G6" s="11"/>
      <c r="H6" s="59"/>
      <c r="I6" s="59"/>
      <c r="J6" s="59"/>
      <c r="K6" s="59"/>
      <c r="L6" s="59"/>
      <c r="M6" s="59"/>
      <c r="N6" s="59"/>
      <c r="O6" s="60"/>
    </row>
    <row r="7" spans="2:15" x14ac:dyDescent="0.25">
      <c r="B7" s="12" t="s">
        <v>82</v>
      </c>
      <c r="C7" s="16"/>
      <c r="D7" s="16"/>
      <c r="E7" s="16"/>
      <c r="F7" s="16"/>
      <c r="G7" s="16"/>
      <c r="H7" s="16">
        <f>Ingresos!C14/12</f>
        <v>184500</v>
      </c>
      <c r="I7" s="16"/>
      <c r="J7" s="16"/>
      <c r="K7" s="16"/>
      <c r="L7" s="16"/>
      <c r="M7" s="16"/>
      <c r="N7" s="16">
        <f>H7</f>
        <v>184500</v>
      </c>
      <c r="O7" s="61">
        <f>SUM(C7:N7)</f>
        <v>369000</v>
      </c>
    </row>
    <row r="8" spans="2:15" x14ac:dyDescent="0.25">
      <c r="B8" s="62" t="s">
        <v>83</v>
      </c>
      <c r="C8" s="13"/>
      <c r="D8" s="13"/>
      <c r="E8" s="13"/>
      <c r="F8" s="13"/>
      <c r="G8" s="13"/>
      <c r="H8" s="3"/>
      <c r="I8" s="3"/>
      <c r="J8" s="3"/>
      <c r="K8" s="3"/>
      <c r="L8" s="3"/>
      <c r="M8" s="3"/>
      <c r="N8" s="3"/>
      <c r="O8" s="63"/>
    </row>
    <row r="9" spans="2:15" x14ac:dyDescent="0.25">
      <c r="B9" s="12" t="s">
        <v>15</v>
      </c>
      <c r="C9" s="16">
        <f>Costos!C11/12</f>
        <v>39220</v>
      </c>
      <c r="D9" s="16">
        <f>C9</f>
        <v>39220</v>
      </c>
      <c r="E9" s="16">
        <f t="shared" ref="E9:N9" si="0">D9</f>
        <v>39220</v>
      </c>
      <c r="F9" s="16">
        <f t="shared" si="0"/>
        <v>39220</v>
      </c>
      <c r="G9" s="16">
        <f t="shared" si="0"/>
        <v>39220</v>
      </c>
      <c r="H9" s="16">
        <f t="shared" si="0"/>
        <v>39220</v>
      </c>
      <c r="I9" s="16">
        <f t="shared" si="0"/>
        <v>39220</v>
      </c>
      <c r="J9" s="16">
        <f t="shared" si="0"/>
        <v>39220</v>
      </c>
      <c r="K9" s="16">
        <f t="shared" si="0"/>
        <v>39220</v>
      </c>
      <c r="L9" s="16">
        <f t="shared" si="0"/>
        <v>39220</v>
      </c>
      <c r="M9" s="16">
        <f t="shared" si="0"/>
        <v>39220</v>
      </c>
      <c r="N9" s="16">
        <f t="shared" si="0"/>
        <v>39220</v>
      </c>
      <c r="O9" s="61">
        <f>SUM(C9:N9)</f>
        <v>470640</v>
      </c>
    </row>
    <row r="10" spans="2:15" x14ac:dyDescent="0.25">
      <c r="B10" s="12" t="s">
        <v>12</v>
      </c>
      <c r="C10" s="16">
        <f>Costos!C24/12</f>
        <v>95707.083333333328</v>
      </c>
      <c r="D10" s="16">
        <f>C10</f>
        <v>95707.083333333328</v>
      </c>
      <c r="E10" s="16">
        <f t="shared" ref="E10:N10" si="1">D10</f>
        <v>95707.083333333328</v>
      </c>
      <c r="F10" s="16">
        <f t="shared" si="1"/>
        <v>95707.083333333328</v>
      </c>
      <c r="G10" s="16">
        <f t="shared" si="1"/>
        <v>95707.083333333328</v>
      </c>
      <c r="H10" s="16">
        <f t="shared" si="1"/>
        <v>95707.083333333328</v>
      </c>
      <c r="I10" s="16">
        <f t="shared" si="1"/>
        <v>95707.083333333328</v>
      </c>
      <c r="J10" s="16">
        <f t="shared" si="1"/>
        <v>95707.083333333328</v>
      </c>
      <c r="K10" s="16">
        <f t="shared" si="1"/>
        <v>95707.083333333328</v>
      </c>
      <c r="L10" s="16">
        <f t="shared" si="1"/>
        <v>95707.083333333328</v>
      </c>
      <c r="M10" s="16">
        <f t="shared" si="1"/>
        <v>95707.083333333328</v>
      </c>
      <c r="N10" s="16">
        <f t="shared" si="1"/>
        <v>95707.083333333328</v>
      </c>
      <c r="O10" s="61">
        <f>SUM(C10:N10)</f>
        <v>1148485</v>
      </c>
    </row>
    <row r="11" spans="2:15" x14ac:dyDescent="0.25">
      <c r="B11" s="12"/>
      <c r="C11" s="13"/>
      <c r="D11" s="13"/>
      <c r="E11" s="13"/>
      <c r="F11" s="13"/>
      <c r="G11" s="13"/>
      <c r="H11" s="3"/>
      <c r="I11" s="3"/>
      <c r="J11" s="3"/>
      <c r="K11" s="3"/>
      <c r="L11" s="3"/>
      <c r="M11" s="3"/>
      <c r="N11" s="3"/>
      <c r="O11" s="63"/>
    </row>
    <row r="12" spans="2:15" x14ac:dyDescent="0.25">
      <c r="B12" s="67" t="s">
        <v>84</v>
      </c>
      <c r="C12" s="68">
        <f>SUM(C9:C11)</f>
        <v>134927.08333333331</v>
      </c>
      <c r="D12" s="68">
        <f t="shared" ref="D12:N12" si="2">SUM(D9:D11)</f>
        <v>134927.08333333331</v>
      </c>
      <c r="E12" s="68">
        <f t="shared" si="2"/>
        <v>134927.08333333331</v>
      </c>
      <c r="F12" s="68">
        <f t="shared" si="2"/>
        <v>134927.08333333331</v>
      </c>
      <c r="G12" s="68">
        <f t="shared" si="2"/>
        <v>134927.08333333331</v>
      </c>
      <c r="H12" s="68">
        <f t="shared" si="2"/>
        <v>134927.08333333331</v>
      </c>
      <c r="I12" s="68">
        <f t="shared" si="2"/>
        <v>134927.08333333331</v>
      </c>
      <c r="J12" s="68">
        <f t="shared" si="2"/>
        <v>134927.08333333331</v>
      </c>
      <c r="K12" s="68">
        <f t="shared" si="2"/>
        <v>134927.08333333331</v>
      </c>
      <c r="L12" s="68">
        <f t="shared" si="2"/>
        <v>134927.08333333331</v>
      </c>
      <c r="M12" s="68">
        <f t="shared" si="2"/>
        <v>134927.08333333331</v>
      </c>
      <c r="N12" s="68">
        <f t="shared" si="2"/>
        <v>134927.08333333331</v>
      </c>
      <c r="O12" s="69">
        <f>SUM(C12:N12)</f>
        <v>1619124.9999999993</v>
      </c>
    </row>
    <row r="13" spans="2:15" x14ac:dyDescent="0.25">
      <c r="B13" s="12"/>
      <c r="C13" s="13"/>
      <c r="D13" s="13"/>
      <c r="E13" s="13"/>
      <c r="F13" s="13"/>
      <c r="G13" s="13"/>
      <c r="H13" s="3"/>
      <c r="I13" s="3"/>
      <c r="J13" s="3"/>
      <c r="K13" s="3"/>
      <c r="L13" s="3"/>
      <c r="M13" s="3"/>
      <c r="N13" s="3"/>
      <c r="O13" s="63"/>
    </row>
    <row r="14" spans="2:15" x14ac:dyDescent="0.25">
      <c r="B14" s="62" t="s">
        <v>85</v>
      </c>
      <c r="C14" s="13"/>
      <c r="D14" s="13"/>
      <c r="E14" s="13"/>
      <c r="F14" s="13"/>
      <c r="G14" s="13"/>
      <c r="H14" s="3"/>
      <c r="I14" s="3"/>
      <c r="J14" s="3"/>
      <c r="K14" s="3"/>
      <c r="L14" s="3"/>
      <c r="M14" s="3"/>
      <c r="N14" s="3"/>
      <c r="O14" s="63"/>
    </row>
    <row r="15" spans="2:15" x14ac:dyDescent="0.25">
      <c r="B15" s="12" t="s">
        <v>86</v>
      </c>
      <c r="C15" s="16">
        <f>C7-C12</f>
        <v>-134927.08333333331</v>
      </c>
      <c r="D15" s="16">
        <f t="shared" ref="D15:N15" si="3">D7-D12</f>
        <v>-134927.08333333331</v>
      </c>
      <c r="E15" s="16">
        <f t="shared" si="3"/>
        <v>-134927.08333333331</v>
      </c>
      <c r="F15" s="16">
        <f t="shared" si="3"/>
        <v>-134927.08333333331</v>
      </c>
      <c r="G15" s="16">
        <f t="shared" si="3"/>
        <v>-134927.08333333331</v>
      </c>
      <c r="H15" s="16">
        <f t="shared" si="3"/>
        <v>49572.916666666686</v>
      </c>
      <c r="I15" s="16">
        <f t="shared" si="3"/>
        <v>-134927.08333333331</v>
      </c>
      <c r="J15" s="16">
        <f t="shared" si="3"/>
        <v>-134927.08333333331</v>
      </c>
      <c r="K15" s="16">
        <f t="shared" si="3"/>
        <v>-134927.08333333331</v>
      </c>
      <c r="L15" s="16">
        <f t="shared" si="3"/>
        <v>-134927.08333333331</v>
      </c>
      <c r="M15" s="16">
        <f t="shared" si="3"/>
        <v>-134927.08333333331</v>
      </c>
      <c r="N15" s="16">
        <f t="shared" si="3"/>
        <v>49572.916666666686</v>
      </c>
      <c r="O15" s="61">
        <f>O7-O12</f>
        <v>-1250124.9999999993</v>
      </c>
    </row>
    <row r="16" spans="2:15" ht="15.75" thickBot="1" x14ac:dyDescent="0.3">
      <c r="B16" s="64" t="s">
        <v>87</v>
      </c>
      <c r="C16" s="65">
        <f>C15</f>
        <v>-134927.08333333331</v>
      </c>
      <c r="D16" s="65">
        <f>D15+C16</f>
        <v>-269854.16666666663</v>
      </c>
      <c r="E16" s="65">
        <f t="shared" ref="E16:N16" si="4">E15+D16</f>
        <v>-404781.24999999994</v>
      </c>
      <c r="F16" s="65">
        <f t="shared" si="4"/>
        <v>-539708.33333333326</v>
      </c>
      <c r="G16" s="65">
        <f t="shared" si="4"/>
        <v>-674635.41666666651</v>
      </c>
      <c r="H16" s="65">
        <f t="shared" si="4"/>
        <v>-625062.49999999977</v>
      </c>
      <c r="I16" s="65">
        <f t="shared" si="4"/>
        <v>-759989.58333333302</v>
      </c>
      <c r="J16" s="65">
        <f t="shared" si="4"/>
        <v>-894916.66666666628</v>
      </c>
      <c r="K16" s="65">
        <f t="shared" si="4"/>
        <v>-1029843.7499999995</v>
      </c>
      <c r="L16" s="65">
        <f t="shared" si="4"/>
        <v>-1164770.8333333328</v>
      </c>
      <c r="M16" s="65">
        <f t="shared" si="4"/>
        <v>-1299697.916666666</v>
      </c>
      <c r="N16" s="65">
        <f t="shared" si="4"/>
        <v>-1250124.9999999993</v>
      </c>
      <c r="O16" s="66"/>
    </row>
    <row r="18" spans="8:8" x14ac:dyDescent="0.25">
      <c r="H18" s="1"/>
    </row>
    <row r="19" spans="8:8" x14ac:dyDescent="0.25">
      <c r="H19" s="1"/>
    </row>
    <row r="20" spans="8:8" x14ac:dyDescent="0.25">
      <c r="H20" s="1"/>
    </row>
  </sheetData>
  <mergeCells count="3">
    <mergeCell ref="B3:G3"/>
    <mergeCell ref="B4:B5"/>
    <mergeCell ref="C4:O4"/>
  </mergeCells>
  <conditionalFormatting sqref="C16:N16">
    <cfRule type="top10" dxfId="1" priority="1" stopIfTrue="1" bottom="1" rank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showGridLines="0" workbookViewId="0">
      <selection activeCell="G13" sqref="G13"/>
    </sheetView>
  </sheetViews>
  <sheetFormatPr baseColWidth="10" defaultRowHeight="12.75" x14ac:dyDescent="0.2"/>
  <cols>
    <col min="1" max="1" width="7.42578125" style="6" customWidth="1"/>
    <col min="2" max="2" width="11.42578125" style="6"/>
    <col min="3" max="3" width="13.85546875" style="6" customWidth="1"/>
    <col min="4" max="4" width="14" style="6" customWidth="1"/>
    <col min="5" max="6" width="14.28515625" style="6" customWidth="1"/>
    <col min="7" max="7" width="16.140625" style="6" customWidth="1"/>
    <col min="8" max="8" width="16.7109375" style="6" customWidth="1"/>
    <col min="9" max="16384" width="11.42578125" style="6"/>
  </cols>
  <sheetData>
    <row r="1" spans="1:8" ht="18.75" x14ac:dyDescent="0.2">
      <c r="B1" s="361" t="s">
        <v>88</v>
      </c>
      <c r="C1" s="362"/>
      <c r="D1" s="362"/>
      <c r="E1" s="362"/>
      <c r="F1" s="362"/>
      <c r="G1" s="362"/>
      <c r="H1" s="362"/>
    </row>
    <row r="2" spans="1:8" ht="13.5" thickBot="1" x14ac:dyDescent="0.25">
      <c r="B2" s="71"/>
      <c r="C2" s="71"/>
      <c r="D2" s="71"/>
      <c r="E2" s="71"/>
      <c r="F2" s="71"/>
      <c r="G2" s="71"/>
      <c r="H2" s="71"/>
    </row>
    <row r="3" spans="1:8" x14ac:dyDescent="0.2">
      <c r="B3" s="142"/>
      <c r="C3" s="143">
        <v>0</v>
      </c>
      <c r="D3" s="143">
        <v>1</v>
      </c>
      <c r="E3" s="143">
        <v>2</v>
      </c>
      <c r="F3" s="143">
        <v>3</v>
      </c>
      <c r="G3" s="143">
        <v>4</v>
      </c>
      <c r="H3" s="143">
        <v>5</v>
      </c>
    </row>
    <row r="4" spans="1:8" x14ac:dyDescent="0.2">
      <c r="B4" s="144" t="s">
        <v>89</v>
      </c>
      <c r="C4" s="132">
        <f>Eva.Fin!H21</f>
        <v>-2123665</v>
      </c>
      <c r="D4" s="132">
        <f>Eva.Fin!H22</f>
        <v>486715.90909090918</v>
      </c>
      <c r="E4" s="132">
        <f>Eva.Fin!H23</f>
        <v>480158.59090909106</v>
      </c>
      <c r="F4" s="132">
        <f>Eva.Fin!H24</f>
        <v>472026.97194139753</v>
      </c>
      <c r="G4" s="133">
        <f>Eva.Fin!H25</f>
        <v>462583.79901837371</v>
      </c>
      <c r="H4" s="132">
        <f>Eva.Fin!H26</f>
        <v>977344.99945816258</v>
      </c>
    </row>
    <row r="5" spans="1:8" ht="13.5" thickBot="1" x14ac:dyDescent="0.25">
      <c r="B5" s="145" t="s">
        <v>90</v>
      </c>
      <c r="C5" s="72">
        <f>+C4</f>
        <v>-2123665</v>
      </c>
      <c r="D5" s="72">
        <f>+D4+C5</f>
        <v>-1636949.0909090908</v>
      </c>
      <c r="E5" s="72">
        <f>+E4+D5</f>
        <v>-1156790.4999999998</v>
      </c>
      <c r="F5" s="73">
        <f>+F4+E5</f>
        <v>-684763.52805860224</v>
      </c>
      <c r="G5" s="73">
        <f>+G4+F5</f>
        <v>-222179.72904022853</v>
      </c>
      <c r="H5" s="73">
        <f>+H4+G5</f>
        <v>755165.27041793405</v>
      </c>
    </row>
    <row r="8" spans="1:8" x14ac:dyDescent="0.2">
      <c r="E8" s="6" t="s">
        <v>91</v>
      </c>
    </row>
    <row r="9" spans="1:8" x14ac:dyDescent="0.2">
      <c r="E9" s="6" t="s">
        <v>92</v>
      </c>
    </row>
    <row r="10" spans="1:8" ht="13.5" thickBot="1" x14ac:dyDescent="0.25"/>
    <row r="11" spans="1:8" ht="13.5" thickBot="1" x14ac:dyDescent="0.25">
      <c r="G11" s="74" t="s">
        <v>93</v>
      </c>
      <c r="H11" s="75"/>
    </row>
    <row r="12" spans="1:8" ht="14.25" x14ac:dyDescent="0.2">
      <c r="B12" s="76"/>
      <c r="C12" s="77"/>
      <c r="D12" s="78"/>
      <c r="E12" s="78"/>
      <c r="F12" s="78"/>
      <c r="G12" s="79">
        <v>4</v>
      </c>
      <c r="H12" s="80" t="s">
        <v>94</v>
      </c>
    </row>
    <row r="13" spans="1:8" ht="13.5" thickBot="1" x14ac:dyDescent="0.25">
      <c r="B13" s="81"/>
      <c r="C13" s="81"/>
      <c r="D13" s="81"/>
      <c r="E13" s="81"/>
      <c r="F13" s="70"/>
      <c r="G13" s="82"/>
      <c r="H13" s="83"/>
    </row>
    <row r="14" spans="1:8" ht="14.25" x14ac:dyDescent="0.2">
      <c r="B14" s="76"/>
      <c r="C14" s="76"/>
      <c r="D14" s="76"/>
      <c r="E14" s="70"/>
      <c r="F14" s="70"/>
      <c r="G14" s="70"/>
      <c r="H14" s="70"/>
    </row>
    <row r="15" spans="1:8" ht="14.25" x14ac:dyDescent="0.2">
      <c r="A15" s="7"/>
      <c r="B15" s="77"/>
      <c r="C15" s="77"/>
      <c r="D15" s="77"/>
      <c r="E15" s="38"/>
      <c r="F15" s="38"/>
      <c r="G15" s="38"/>
      <c r="H15" s="38"/>
    </row>
    <row r="16" spans="1:8" ht="14.25" x14ac:dyDescent="0.2">
      <c r="A16" s="7"/>
      <c r="B16" s="84"/>
      <c r="C16" s="85"/>
      <c r="D16" s="85"/>
      <c r="E16" s="85"/>
      <c r="F16" s="85"/>
      <c r="G16" s="85"/>
      <c r="H16" s="85"/>
    </row>
    <row r="17" spans="1:8" ht="14.25" x14ac:dyDescent="0.2">
      <c r="A17" s="7"/>
      <c r="B17" s="86"/>
      <c r="C17" s="86"/>
      <c r="D17" s="86"/>
      <c r="E17" s="87"/>
      <c r="F17" s="86"/>
      <c r="G17" s="86"/>
      <c r="H17" s="86"/>
    </row>
    <row r="18" spans="1:8" ht="14.25" x14ac:dyDescent="0.2">
      <c r="A18" s="7"/>
      <c r="B18" s="88"/>
      <c r="C18" s="88"/>
      <c r="D18" s="88"/>
      <c r="E18" s="88"/>
      <c r="F18" s="88"/>
      <c r="G18" s="88"/>
      <c r="H18" s="88"/>
    </row>
    <row r="19" spans="1:8" ht="14.25" x14ac:dyDescent="0.2">
      <c r="A19" s="7"/>
      <c r="B19" s="89"/>
      <c r="C19" s="86"/>
      <c r="D19" s="87"/>
      <c r="E19" s="87"/>
      <c r="F19" s="87"/>
      <c r="G19" s="87"/>
      <c r="H19" s="87"/>
    </row>
    <row r="20" spans="1:8" ht="14.25" x14ac:dyDescent="0.2">
      <c r="A20" s="7"/>
      <c r="B20" s="86"/>
      <c r="C20" s="90"/>
      <c r="D20" s="91"/>
      <c r="E20" s="91"/>
      <c r="F20" s="91"/>
      <c r="G20" s="91"/>
      <c r="H20" s="91"/>
    </row>
    <row r="21" spans="1:8" ht="14.25" x14ac:dyDescent="0.2">
      <c r="A21" s="7"/>
      <c r="B21" s="86"/>
      <c r="C21" s="90"/>
      <c r="D21" s="91"/>
      <c r="E21" s="91"/>
      <c r="F21" s="91"/>
      <c r="G21" s="91"/>
      <c r="H21" s="91"/>
    </row>
    <row r="22" spans="1:8" ht="14.25" x14ac:dyDescent="0.2">
      <c r="A22" s="7"/>
      <c r="B22" s="86"/>
      <c r="C22" s="90"/>
      <c r="D22" s="91"/>
      <c r="E22" s="91"/>
      <c r="F22" s="91"/>
      <c r="G22" s="91"/>
      <c r="H22" s="91"/>
    </row>
    <row r="23" spans="1:8" ht="14.25" x14ac:dyDescent="0.2">
      <c r="A23" s="7"/>
      <c r="B23" s="86"/>
      <c r="C23" s="90"/>
      <c r="D23" s="90"/>
      <c r="E23" s="90"/>
      <c r="F23" s="90"/>
      <c r="G23" s="90"/>
      <c r="H23" s="90"/>
    </row>
    <row r="24" spans="1:8" ht="14.25" x14ac:dyDescent="0.2">
      <c r="A24" s="7"/>
      <c r="B24" s="92"/>
      <c r="C24" s="90"/>
      <c r="D24" s="90"/>
      <c r="E24" s="90"/>
      <c r="F24" s="90"/>
      <c r="G24" s="90"/>
      <c r="H24" s="90"/>
    </row>
    <row r="25" spans="1:8" ht="14.25" x14ac:dyDescent="0.2">
      <c r="A25" s="7"/>
      <c r="B25" s="77"/>
      <c r="C25" s="93"/>
      <c r="D25" s="94"/>
      <c r="E25" s="94"/>
      <c r="F25" s="94"/>
      <c r="G25" s="94"/>
      <c r="H25" s="94"/>
    </row>
    <row r="26" spans="1:8" ht="14.25" x14ac:dyDescent="0.2">
      <c r="A26" s="7"/>
      <c r="B26" s="77"/>
      <c r="C26" s="93"/>
      <c r="D26" s="78"/>
      <c r="E26" s="78"/>
      <c r="F26" s="78"/>
      <c r="G26" s="78"/>
      <c r="H26" s="78"/>
    </row>
    <row r="27" spans="1:8" ht="14.25" x14ac:dyDescent="0.2">
      <c r="A27" s="7"/>
      <c r="B27" s="77"/>
      <c r="C27" s="77"/>
      <c r="D27" s="95"/>
      <c r="E27" s="95"/>
      <c r="F27" s="95"/>
      <c r="G27" s="95"/>
      <c r="H27" s="95"/>
    </row>
    <row r="28" spans="1:8" ht="14.25" x14ac:dyDescent="0.2">
      <c r="A28" s="7"/>
      <c r="B28" s="77"/>
      <c r="C28" s="77"/>
      <c r="D28" s="96"/>
      <c r="E28" s="96"/>
      <c r="F28" s="96"/>
      <c r="G28" s="96"/>
      <c r="H28" s="96"/>
    </row>
    <row r="29" spans="1:8" ht="14.25" x14ac:dyDescent="0.2">
      <c r="A29" s="7"/>
      <c r="B29" s="77"/>
      <c r="C29" s="77"/>
      <c r="D29" s="77"/>
      <c r="E29" s="77"/>
      <c r="F29" s="77"/>
      <c r="G29" s="77"/>
      <c r="H29" s="77"/>
    </row>
    <row r="30" spans="1:8" x14ac:dyDescent="0.2">
      <c r="B30" s="97"/>
      <c r="C30" s="97"/>
      <c r="D30" s="98"/>
      <c r="E30" s="97"/>
      <c r="F30" s="97"/>
      <c r="G30" s="97"/>
      <c r="H30" s="97"/>
    </row>
    <row r="31" spans="1:8" x14ac:dyDescent="0.2">
      <c r="B31" s="97"/>
      <c r="C31" s="97"/>
      <c r="D31" s="97"/>
      <c r="E31" s="97"/>
      <c r="F31" s="97"/>
      <c r="G31" s="97"/>
      <c r="H31" s="97"/>
    </row>
  </sheetData>
  <mergeCells count="1">
    <mergeCell ref="B1:H1"/>
  </mergeCells>
  <conditionalFormatting sqref="C5:H5">
    <cfRule type="cellIs" dxfId="0" priority="1" stopIfTrue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EstructuraFinanc</vt:lpstr>
      <vt:lpstr>PaqueteTecn</vt:lpstr>
      <vt:lpstr>Acopio</vt:lpstr>
      <vt:lpstr>Costos</vt:lpstr>
      <vt:lpstr>Ingresos</vt:lpstr>
      <vt:lpstr>Edo.Res</vt:lpstr>
      <vt:lpstr>Eva.Fin</vt:lpstr>
      <vt:lpstr>Cap.Trabajo</vt:lpstr>
      <vt:lpstr>PeriodoRecup</vt:lpstr>
      <vt:lpstr>PuntoEqui</vt:lpstr>
      <vt:lpstr>Deprec</vt:lpstr>
      <vt:lpstr>Flujo ANUAL</vt:lpstr>
      <vt:lpstr>MAS CORRIDAS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Ingeniero LM</dc:creator>
  <cp:lastModifiedBy>Interaprendizaje</cp:lastModifiedBy>
  <dcterms:created xsi:type="dcterms:W3CDTF">2010-12-21T22:12:15Z</dcterms:created>
  <dcterms:modified xsi:type="dcterms:W3CDTF">2017-08-24T19:15:33Z</dcterms:modified>
</cp:coreProperties>
</file>