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60" yWindow="105" windowWidth="15075" windowHeight="9075" tabRatio="949" firstSheet="1" activeTab="1"/>
  </bookViews>
  <sheets>
    <sheet name="EVAL. FINAN." sheetId="17" state="hidden" r:id="rId1"/>
    <sheet name="Calculo de VAN, TIR, R B-C" sheetId="29" r:id="rId2"/>
    <sheet name="BALANCE GRAL" sheetId="31" state="hidden" r:id="rId3"/>
    <sheet name="CALENDARIO DE INVERSIONES" sheetId="25" state="hidden" r:id="rId4"/>
  </sheets>
  <externalReferences>
    <externalReference r:id="rId5"/>
    <externalReference r:id="rId6"/>
  </externalReferences>
  <definedNames>
    <definedName name="_xlnm.Print_Area" localSheetId="2">'BALANCE GRAL'!$H$3:$O$35</definedName>
    <definedName name="_xlnm.Print_Area" localSheetId="3">'CALENDARIO DE INVERSIONES'!$B$2:$M$19</definedName>
    <definedName name="_xlnm.Print_Area" localSheetId="0">'EVAL. FINAN.'!$B$3:$J$47</definedName>
  </definedNames>
  <calcPr calcId="145621"/>
</workbook>
</file>

<file path=xl/calcChain.xml><?xml version="1.0" encoding="utf-8"?>
<calcChain xmlns="http://schemas.openxmlformats.org/spreadsheetml/2006/main">
  <c r="E26" i="29" l="1"/>
  <c r="E25" i="29"/>
  <c r="E24" i="29"/>
  <c r="E23" i="29"/>
  <c r="E22" i="29"/>
  <c r="E21" i="29"/>
  <c r="D21" i="29"/>
  <c r="C21" i="29"/>
  <c r="J9" i="29"/>
  <c r="F21" i="29" l="1"/>
  <c r="G21" i="29"/>
  <c r="H21" i="29" l="1"/>
  <c r="K28" i="31" l="1"/>
  <c r="K27" i="31" a="1"/>
  <c r="O27" i="31" s="1"/>
  <c r="I17" i="31"/>
  <c r="J16" i="31"/>
  <c r="I16" i="31"/>
  <c r="H16" i="31"/>
  <c r="G16" i="31"/>
  <c r="F16" i="31"/>
  <c r="E16" i="31"/>
  <c r="D16" i="31"/>
  <c r="E15" i="31" s="1"/>
  <c r="F15" i="31" s="1"/>
  <c r="G15" i="31" s="1"/>
  <c r="H15" i="31" s="1"/>
  <c r="L15" i="31"/>
  <c r="J33" i="31" s="1"/>
  <c r="I15" i="31"/>
  <c r="D15" i="31"/>
  <c r="L14" i="31"/>
  <c r="J32" i="31" s="1"/>
  <c r="I14" i="31"/>
  <c r="C14" i="31"/>
  <c r="C17" i="31" s="1"/>
  <c r="I13" i="31"/>
  <c r="C13" i="31"/>
  <c r="C18" i="31" s="1"/>
  <c r="J12" i="31"/>
  <c r="I12" i="31"/>
  <c r="L11" i="31"/>
  <c r="J29" i="31" s="1"/>
  <c r="I11" i="31"/>
  <c r="E11" i="31"/>
  <c r="F11" i="31" s="1"/>
  <c r="D11" i="31"/>
  <c r="D13" i="31" s="1"/>
  <c r="K10" i="31"/>
  <c r="K12" i="31" s="1"/>
  <c r="I10" i="31"/>
  <c r="L9" i="31"/>
  <c r="J27" i="31" s="1"/>
  <c r="I9" i="31"/>
  <c r="J8" i="31"/>
  <c r="I8" i="31"/>
  <c r="C8" i="31"/>
  <c r="D8" i="31" s="1"/>
  <c r="E8" i="31" s="1"/>
  <c r="F8" i="31" s="1"/>
  <c r="G8" i="31" s="1"/>
  <c r="H8" i="31" s="1"/>
  <c r="K7" i="31"/>
  <c r="L7" i="31" s="1"/>
  <c r="J25" i="31" s="1"/>
  <c r="K25" i="31" s="1"/>
  <c r="L25" i="31" s="1"/>
  <c r="M25" i="31" s="1"/>
  <c r="N25" i="31" s="1"/>
  <c r="O25" i="31" s="1"/>
  <c r="I7" i="31"/>
  <c r="D7" i="31"/>
  <c r="E7" i="31" s="1"/>
  <c r="F7" i="31" s="1"/>
  <c r="G7" i="31" s="1"/>
  <c r="H7" i="31" s="1"/>
  <c r="C7" i="31"/>
  <c r="K6" i="31"/>
  <c r="L6" i="31" s="1"/>
  <c r="J24" i="31" s="1"/>
  <c r="K24" i="31" s="1"/>
  <c r="L24" i="31" s="1"/>
  <c r="M24" i="31" s="1"/>
  <c r="N24" i="31" s="1"/>
  <c r="O24" i="31" s="1"/>
  <c r="I6" i="31"/>
  <c r="C6" i="31"/>
  <c r="D6" i="31" s="1"/>
  <c r="I5" i="31"/>
  <c r="J17" i="31" l="1"/>
  <c r="L10" i="31"/>
  <c r="J28" i="31" s="1"/>
  <c r="J30" i="31"/>
  <c r="D9" i="31"/>
  <c r="E6" i="31"/>
  <c r="F13" i="31"/>
  <c r="G11" i="31"/>
  <c r="K32" i="31"/>
  <c r="C9" i="31"/>
  <c r="E13" i="31"/>
  <c r="D14" i="31"/>
  <c r="L27" i="31"/>
  <c r="N27" i="31"/>
  <c r="L12" i="31"/>
  <c r="K27" i="31"/>
  <c r="K30" i="31" s="1"/>
  <c r="M27" i="31"/>
  <c r="E14" i="31" l="1"/>
  <c r="D17" i="31"/>
  <c r="D18" i="31" s="1"/>
  <c r="H11" i="31"/>
  <c r="H13" i="31" s="1"/>
  <c r="G13" i="31"/>
  <c r="F6" i="31"/>
  <c r="E9" i="31"/>
  <c r="L28" i="31"/>
  <c r="M28" i="31" s="1"/>
  <c r="N28" i="31" s="1"/>
  <c r="O28" i="31" s="1"/>
  <c r="O30" i="31" s="1"/>
  <c r="L30" i="31" l="1"/>
  <c r="F9" i="31"/>
  <c r="G6" i="31"/>
  <c r="E17" i="31"/>
  <c r="E18" i="31" s="1"/>
  <c r="F14" i="31"/>
  <c r="M30" i="31"/>
  <c r="N30" i="31"/>
  <c r="G14" i="31" l="1"/>
  <c r="F17" i="31"/>
  <c r="F18" i="31" s="1"/>
  <c r="H6" i="31"/>
  <c r="H9" i="31" s="1"/>
  <c r="G9" i="31"/>
  <c r="G17" i="31" l="1"/>
  <c r="G18" i="31" s="1"/>
  <c r="H14" i="31"/>
  <c r="H17" i="31" s="1"/>
  <c r="H18" i="31" s="1"/>
  <c r="B17" i="25" l="1"/>
  <c r="B16" i="25"/>
  <c r="B15" i="25"/>
  <c r="B14" i="25"/>
  <c r="B5" i="25"/>
  <c r="D22" i="17"/>
  <c r="F8" i="25" l="1"/>
  <c r="F7" i="25"/>
  <c r="F9" i="25"/>
  <c r="F13" i="25"/>
  <c r="F12" i="25"/>
  <c r="F10" i="25"/>
  <c r="F8" i="17"/>
  <c r="F14" i="25"/>
  <c r="F15" i="25"/>
  <c r="F16" i="25"/>
  <c r="F17" i="25"/>
  <c r="H13" i="17" l="1"/>
  <c r="E27" i="17"/>
  <c r="E26" i="17"/>
  <c r="E25" i="17"/>
  <c r="E24" i="17"/>
  <c r="E23" i="17"/>
  <c r="E22" i="17"/>
  <c r="F11" i="25" l="1"/>
  <c r="F6" i="25" l="1"/>
  <c r="D41" i="17" l="1"/>
  <c r="E41" i="17" s="1"/>
  <c r="F41" i="17" s="1"/>
  <c r="G41" i="17" s="1"/>
  <c r="H41" i="17" s="1"/>
  <c r="I41" i="17" s="1"/>
  <c r="C41" i="17" l="1"/>
  <c r="G22" i="17" l="1"/>
  <c r="H40" i="17" l="1"/>
  <c r="D22" i="29" l="1"/>
  <c r="I40" i="17"/>
  <c r="D23" i="29" l="1"/>
  <c r="G23" i="29" s="1"/>
  <c r="G22" i="29"/>
  <c r="C40" i="17"/>
  <c r="J14" i="17" l="1"/>
  <c r="C23" i="17"/>
  <c r="F23" i="17" l="1"/>
  <c r="C26" i="17"/>
  <c r="F26" i="17" s="1"/>
  <c r="C25" i="17"/>
  <c r="F25" i="17" s="1"/>
  <c r="C27" i="17"/>
  <c r="F27" i="17" s="1"/>
  <c r="C24" i="17"/>
  <c r="F24" i="17" l="1"/>
  <c r="K33" i="31" l="1"/>
  <c r="L32" i="31" s="1"/>
  <c r="L33" i="31" l="1"/>
  <c r="M32" i="31" s="1"/>
  <c r="M33" i="31" l="1"/>
  <c r="N32" i="31" s="1"/>
  <c r="N33" i="31" l="1"/>
  <c r="O32" i="31" s="1"/>
  <c r="K5" i="31"/>
  <c r="K8" i="31" l="1"/>
  <c r="L5" i="31"/>
  <c r="K13" i="31" l="1"/>
  <c r="O33" i="31"/>
  <c r="L8" i="31"/>
  <c r="J23" i="31"/>
  <c r="K23" i="31" l="1"/>
  <c r="J26" i="31"/>
  <c r="K16" i="31"/>
  <c r="K17" i="31" s="1"/>
  <c r="L13" i="31"/>
  <c r="L23" i="31" l="1"/>
  <c r="K26" i="31"/>
  <c r="J31" i="31"/>
  <c r="L16" i="31"/>
  <c r="L17" i="31" s="1"/>
  <c r="J34" i="31" l="1"/>
  <c r="J35" i="31" s="1"/>
  <c r="K31" i="31"/>
  <c r="L26" i="31"/>
  <c r="M23" i="31"/>
  <c r="M26" i="31" l="1"/>
  <c r="N23" i="31"/>
  <c r="L31" i="31"/>
  <c r="K34" i="31"/>
  <c r="K35" i="31" s="1"/>
  <c r="L34" i="31" l="1"/>
  <c r="L35" i="31" s="1"/>
  <c r="M31" i="31"/>
  <c r="N26" i="31"/>
  <c r="O23" i="31"/>
  <c r="O26" i="31" s="1"/>
  <c r="N31" i="31" l="1"/>
  <c r="M34" i="31"/>
  <c r="M35" i="31" s="1"/>
  <c r="N34" i="31" l="1"/>
  <c r="N35" i="31" s="1"/>
  <c r="O31" i="31"/>
  <c r="O34" i="31" s="1"/>
  <c r="O35" i="31" s="1"/>
  <c r="D24" i="29" l="1"/>
  <c r="G24" i="29" l="1"/>
  <c r="D25" i="29" l="1"/>
  <c r="I14" i="29" l="1"/>
  <c r="D26" i="29" s="1"/>
  <c r="G26" i="29" s="1"/>
  <c r="F18" i="25"/>
  <c r="F19" i="25" s="1"/>
  <c r="G25" i="29"/>
  <c r="D27" i="29" l="1"/>
  <c r="E8" i="17"/>
  <c r="G27" i="29"/>
  <c r="G8" i="17" l="1"/>
  <c r="I13" i="17" s="1"/>
  <c r="J15" i="17" s="1"/>
  <c r="J10" i="29"/>
  <c r="C22" i="29"/>
  <c r="F22" i="29" s="1"/>
  <c r="H22" i="29" s="1"/>
  <c r="J8" i="17" l="1"/>
  <c r="C22" i="17"/>
  <c r="C28" i="17" s="1"/>
  <c r="D42" i="17"/>
  <c r="E42" i="17" s="1"/>
  <c r="D40" i="17"/>
  <c r="F22" i="17" l="1"/>
  <c r="F28" i="17" s="1"/>
  <c r="H22" i="17"/>
  <c r="D43" i="17"/>
  <c r="D45" i="17"/>
  <c r="D46" i="17" s="1"/>
  <c r="E40" i="17"/>
  <c r="E45" i="17" s="1"/>
  <c r="E46" i="17" s="1"/>
  <c r="E43" i="17"/>
  <c r="F42" i="17"/>
  <c r="F40" i="17" l="1"/>
  <c r="C9" i="17" a="1"/>
  <c r="F43" i="17"/>
  <c r="G42" i="17"/>
  <c r="F45" i="17"/>
  <c r="F46" i="17" s="1"/>
  <c r="C23" i="29" l="1"/>
  <c r="J11" i="29"/>
  <c r="C9" i="17"/>
  <c r="C10" i="17"/>
  <c r="C11" i="17"/>
  <c r="C12" i="17"/>
  <c r="J12" i="17" s="1"/>
  <c r="G43" i="17"/>
  <c r="H42" i="17"/>
  <c r="G40" i="17"/>
  <c r="G45" i="17" s="1"/>
  <c r="G46" i="17" s="1"/>
  <c r="C13" i="17"/>
  <c r="C42" i="17" l="1"/>
  <c r="C24" i="29"/>
  <c r="F24" i="29" s="1"/>
  <c r="H24" i="29" s="1"/>
  <c r="J12" i="29"/>
  <c r="F23" i="29"/>
  <c r="D26" i="17"/>
  <c r="G26" i="17" s="1"/>
  <c r="J11" i="17"/>
  <c r="D25" i="17"/>
  <c r="G25" i="17" s="1"/>
  <c r="H25" i="17" s="1"/>
  <c r="J9" i="17"/>
  <c r="D23" i="17"/>
  <c r="G23" i="17" s="1"/>
  <c r="H23" i="17" s="1"/>
  <c r="D24" i="17"/>
  <c r="G24" i="17" s="1"/>
  <c r="H24" i="17" s="1"/>
  <c r="J10" i="17"/>
  <c r="H43" i="17"/>
  <c r="I42" i="17"/>
  <c r="H45" i="17"/>
  <c r="H46" i="17" s="1"/>
  <c r="J13" i="17"/>
  <c r="D27" i="17"/>
  <c r="G27" i="17" s="1"/>
  <c r="H27" i="17" s="1"/>
  <c r="C43" i="17" l="1"/>
  <c r="C45" i="17"/>
  <c r="C46" i="17" s="1"/>
  <c r="C25" i="29"/>
  <c r="J13" i="29"/>
  <c r="H23" i="29"/>
  <c r="E33" i="17"/>
  <c r="D28" i="17"/>
  <c r="H26" i="17"/>
  <c r="H28" i="17" s="1"/>
  <c r="E32" i="17" s="1"/>
  <c r="G28" i="17"/>
  <c r="E34" i="17" s="1"/>
  <c r="I43" i="17"/>
  <c r="I45" i="17"/>
  <c r="I46" i="17" s="1"/>
  <c r="F25" i="29" l="1"/>
  <c r="C27" i="29"/>
  <c r="C26" i="29"/>
  <c r="F26" i="29" s="1"/>
  <c r="H26" i="29" s="1"/>
  <c r="J14" i="29"/>
  <c r="H25" i="29" l="1"/>
  <c r="F27" i="29"/>
  <c r="E32" i="29" s="1"/>
  <c r="F32" i="29" s="1"/>
  <c r="E31" i="29"/>
  <c r="F31" i="29" s="1"/>
  <c r="H27" i="29" l="1"/>
  <c r="E30" i="29" s="1"/>
  <c r="F30" i="29" s="1"/>
</calcChain>
</file>

<file path=xl/sharedStrings.xml><?xml version="1.0" encoding="utf-8"?>
<sst xmlns="http://schemas.openxmlformats.org/spreadsheetml/2006/main" count="197" uniqueCount="105">
  <si>
    <t>CONCEPTO</t>
  </si>
  <si>
    <t>TOTAL</t>
  </si>
  <si>
    <t xml:space="preserve"> </t>
  </si>
  <si>
    <t>Total</t>
  </si>
  <si>
    <t>Concepto</t>
  </si>
  <si>
    <t>Año 1</t>
  </si>
  <si>
    <t>Año 2</t>
  </si>
  <si>
    <t>Año 3</t>
  </si>
  <si>
    <t>Año 4</t>
  </si>
  <si>
    <t>Año 5</t>
  </si>
  <si>
    <t>Año 6</t>
  </si>
  <si>
    <t>Año 7</t>
  </si>
  <si>
    <t>INDICADORES FINANCIEROS</t>
  </si>
  <si>
    <t>Costos Variables</t>
  </si>
  <si>
    <t>FLUJO NETO DE EFECTIVO</t>
  </si>
  <si>
    <t>Inversiones para el proyecto</t>
  </si>
  <si>
    <t>Valor de Rescate</t>
  </si>
  <si>
    <t>Año de</t>
  </si>
  <si>
    <t>Ingresos</t>
  </si>
  <si>
    <t>Egresos</t>
  </si>
  <si>
    <t>Fija</t>
  </si>
  <si>
    <t>Diferida</t>
  </si>
  <si>
    <t>Cap de trab.</t>
  </si>
  <si>
    <t xml:space="preserve">Valor </t>
  </si>
  <si>
    <t>Recup. De</t>
  </si>
  <si>
    <t>operación</t>
  </si>
  <si>
    <t>totales</t>
  </si>
  <si>
    <t>Residual</t>
  </si>
  <si>
    <t>cap. De Trab.</t>
  </si>
  <si>
    <t>CALCULO DEL VAN,  R B/C Y TIR CON UNA TASA DE DESCUENTO DEL 12%</t>
  </si>
  <si>
    <t>Año</t>
  </si>
  <si>
    <t>Costos</t>
  </si>
  <si>
    <t>Beneficios</t>
  </si>
  <si>
    <t>Factor de</t>
  </si>
  <si>
    <t>Flujo neto de</t>
  </si>
  <si>
    <t>de</t>
  </si>
  <si>
    <t>actualización</t>
  </si>
  <si>
    <t>actualizados</t>
  </si>
  <si>
    <t>efectivo act.</t>
  </si>
  <si>
    <t>($)</t>
  </si>
  <si>
    <t>Los indicadores financieros que arroja el proyecto son:</t>
  </si>
  <si>
    <t>VAN=</t>
  </si>
  <si>
    <t>TIR =</t>
  </si>
  <si>
    <t>B/C =</t>
  </si>
  <si>
    <t xml:space="preserve"> CALCULO DEL PUNTO DE EQUILIBRIO</t>
  </si>
  <si>
    <t>Costos Fijos</t>
  </si>
  <si>
    <t>COSTOS TOTALES</t>
  </si>
  <si>
    <t>Punto de Equilibrio en valor  ($)</t>
  </si>
  <si>
    <t>Punto de Equilibrio en porcentaje</t>
  </si>
  <si>
    <t>Flujo Neto de Efectivo</t>
  </si>
  <si>
    <t>Actividad</t>
  </si>
  <si>
    <t>Fecha de inicio</t>
  </si>
  <si>
    <t>Duración (Dias)</t>
  </si>
  <si>
    <t>Responsable</t>
  </si>
  <si>
    <t>Recursos</t>
  </si>
  <si>
    <t>Fuente de financiamiento</t>
  </si>
  <si>
    <t>Aplicación de los Recursos</t>
  </si>
  <si>
    <t>Organización</t>
  </si>
  <si>
    <t xml:space="preserve">Organización </t>
  </si>
  <si>
    <t xml:space="preserve">Organización, SEDESOL </t>
  </si>
  <si>
    <t xml:space="preserve">SEDESOL </t>
  </si>
  <si>
    <t>Personal</t>
  </si>
  <si>
    <t xml:space="preserve">Capital de Trabajo </t>
  </si>
  <si>
    <t xml:space="preserve">CALENDARIO DE APLICACIÓN DE LOS RECURSOS </t>
  </si>
  <si>
    <t>Sept. 2009</t>
  </si>
  <si>
    <t>Oct .2009</t>
  </si>
  <si>
    <t>Nov .2009</t>
  </si>
  <si>
    <t>Dic.  2009</t>
  </si>
  <si>
    <t>Ene 2010</t>
  </si>
  <si>
    <t>Feb. 2010</t>
  </si>
  <si>
    <t xml:space="preserve">Construccion de Corrales de 1000 m para engorda de becerros </t>
  </si>
  <si>
    <t>Construccion de bodega para almacen de insumos y elaboracion de alimento</t>
  </si>
  <si>
    <t>Adquisicion de Equipos para elaborar Alimentos Balanceados</t>
  </si>
  <si>
    <t xml:space="preserve">Adquisicion de Camioneta Ford F 350 con Redila Ganadera </t>
  </si>
  <si>
    <t>Construccion de Unidad de Transformacion de Leche de 76 m</t>
  </si>
  <si>
    <t xml:space="preserve">Adquisicion de equipos para linea de Elaboracion de Quesos </t>
  </si>
  <si>
    <t xml:space="preserve">Adqusicion de Vehiculo Ford F 350 con Caja Seca  </t>
  </si>
  <si>
    <t xml:space="preserve">Adquiscion de Equipos para Operación de dos carnicerias en acapulco </t>
  </si>
  <si>
    <t>En Comodato</t>
  </si>
  <si>
    <t>ORGANIZACIÓN</t>
  </si>
  <si>
    <t xml:space="preserve">ORGANIZACIÓN </t>
  </si>
  <si>
    <t>Consultor</t>
  </si>
  <si>
    <t xml:space="preserve">BALANCE GENERAL PROYECTADO </t>
  </si>
  <si>
    <t xml:space="preserve">EL AÑO 0 SE COMPONE DE LO SIGUIENTE </t>
  </si>
  <si>
    <t>CONCEPTO/AÑO</t>
  </si>
  <si>
    <t>PROYECTO, DATOS PREVISTOS AL FINAL DEL AÑO</t>
  </si>
  <si>
    <t xml:space="preserve">SITUACION ACTUAL </t>
  </si>
  <si>
    <t>APORTACION DEL PROYECTO</t>
  </si>
  <si>
    <t>AÑO 0 (Sit. Actual + Inv. Del proyecto).</t>
  </si>
  <si>
    <t>ACTIVO CIRCULANTE</t>
  </si>
  <si>
    <t>ACTIVO FIJO</t>
  </si>
  <si>
    <t>ACTIVO DIFERIDO</t>
  </si>
  <si>
    <t>ACTIVO TOTAL</t>
  </si>
  <si>
    <t xml:space="preserve">PASIVO A CORTO PLAZO </t>
  </si>
  <si>
    <t>PASIVO A LARGO PLAZO</t>
  </si>
  <si>
    <t>PASIVO DIFERIDO</t>
  </si>
  <si>
    <t>PASIVO TOTAL</t>
  </si>
  <si>
    <t>CAPITAL SOCIAL</t>
  </si>
  <si>
    <t>RESULTADO DE EJERCICIOS ANTERIORES</t>
  </si>
  <si>
    <t>RESULTADO DEL EJERCICIO</t>
  </si>
  <si>
    <t>CAPITAL CONTABLE</t>
  </si>
  <si>
    <t>PASIVO TOTAL + CAPITAL CONTABLE</t>
  </si>
  <si>
    <t>EVALUACION FINANCIERA</t>
  </si>
  <si>
    <t>totales*</t>
  </si>
  <si>
    <t>CALCULO DEL VAN,  R B/C Y TIR CON UNA TASA DE DESCUENTO DEL 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</si>
</sst>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&quot;$&quot;#,##0.00;[Red]\-&quot;$&quot;#,##0.00"/>
    <numFmt numFmtId="165" formatCode="_-* #,##0.00_-;\-* #,##0.00_-;_-* &quot;-&quot;??_-;_-@_-"/>
    <numFmt numFmtId="166" formatCode="#,##0.0"/>
    <numFmt numFmtId="167" formatCode="General_)"/>
    <numFmt numFmtId="168" formatCode="_-* #,##0.00\ _P_t_s_-;\-* #,##0.00\ _P_t_s_-;_-* &quot;-&quot;??\ _P_t_s_-;_-@_-"/>
    <numFmt numFmtId="169" formatCode="0.0%"/>
    <numFmt numFmtId="170" formatCode="#,##0.000"/>
    <numFmt numFmtId="171" formatCode="_-[$€-2]* #,##0.00_-;\-[$€-2]* #,##0.00_-;_-[$€-2]* &quot;-&quot;??_-"/>
    <numFmt numFmtId="172" formatCode="#,##0.00_ ;\-#,##0.00\ "/>
    <numFmt numFmtId="173" formatCode="_-* #,##0.00\ _€_-;\-* #,##0.00\ _€_-;_-* &quot;-&quot;??\ _€_-;_-@_-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i/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Courier"/>
      <family val="3"/>
    </font>
    <font>
      <b/>
      <sz val="10"/>
      <name val="Tahoma"/>
      <family val="2"/>
    </font>
    <font>
      <b/>
      <i/>
      <sz val="10"/>
      <name val="Tahoma"/>
      <family val="2"/>
    </font>
    <font>
      <sz val="10"/>
      <name val="Tahoma"/>
      <family val="2"/>
    </font>
    <font>
      <i/>
      <sz val="10"/>
      <name val="Arial"/>
      <family val="2"/>
    </font>
    <font>
      <b/>
      <i/>
      <sz val="10"/>
      <name val="Arial Narrow"/>
      <family val="2"/>
    </font>
    <font>
      <i/>
      <sz val="10"/>
      <name val="Arial Narrow"/>
      <family val="2"/>
    </font>
    <font>
      <b/>
      <sz val="7"/>
      <name val="Arial"/>
      <family val="2"/>
    </font>
    <font>
      <b/>
      <i/>
      <sz val="7"/>
      <name val="Arial"/>
      <family val="2"/>
    </font>
    <font>
      <b/>
      <sz val="10"/>
      <name val="Courier"/>
      <family val="3"/>
    </font>
    <font>
      <b/>
      <sz val="12"/>
      <name val="Arial"/>
      <family val="2"/>
    </font>
    <font>
      <sz val="11"/>
      <color indexed="8"/>
      <name val="Calibri"/>
      <family val="2"/>
    </font>
    <font>
      <sz val="7"/>
      <color rgb="FF000000"/>
      <name val="Calibri"/>
      <family val="2"/>
    </font>
    <font>
      <sz val="7"/>
      <color rgb="FFFF0000"/>
      <name val="Calibri"/>
      <family val="2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b/>
      <sz val="12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5" fontId="2" fillId="0" borderId="0" applyFont="0" applyFill="0" applyBorder="0" applyAlignment="0" applyProtection="0"/>
    <xf numFmtId="166" fontId="11" fillId="0" borderId="0"/>
    <xf numFmtId="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11" fillId="0" borderId="0" applyFont="0" applyFill="0" applyBorder="0" applyAlignment="0" applyProtection="0"/>
    <xf numFmtId="0" fontId="1" fillId="0" borderId="0"/>
    <xf numFmtId="165" fontId="22" fillId="0" borderId="0" applyFont="0" applyFill="0" applyBorder="0" applyAlignment="0" applyProtection="0"/>
    <xf numFmtId="0" fontId="2" fillId="0" borderId="0"/>
  </cellStyleXfs>
  <cellXfs count="237">
    <xf numFmtId="0" fontId="0" fillId="0" borderId="0" xfId="0"/>
    <xf numFmtId="0" fontId="3" fillId="0" borderId="0" xfId="0" applyFont="1"/>
    <xf numFmtId="0" fontId="0" fillId="0" borderId="0" xfId="0" applyBorder="1"/>
    <xf numFmtId="167" fontId="11" fillId="0" borderId="0" xfId="2" applyNumberFormat="1" applyFont="1"/>
    <xf numFmtId="167" fontId="13" fillId="0" borderId="0" xfId="2" applyNumberFormat="1" applyFont="1" applyFill="1"/>
    <xf numFmtId="4" fontId="14" fillId="0" borderId="0" xfId="2" applyNumberFormat="1" applyFont="1" applyFill="1"/>
    <xf numFmtId="167" fontId="12" fillId="3" borderId="9" xfId="2" applyNumberFormat="1" applyFont="1" applyFill="1" applyBorder="1"/>
    <xf numFmtId="4" fontId="12" fillId="3" borderId="9" xfId="2" applyNumberFormat="1" applyFont="1" applyFill="1" applyBorder="1"/>
    <xf numFmtId="167" fontId="12" fillId="3" borderId="11" xfId="2" applyNumberFormat="1" applyFont="1" applyFill="1" applyBorder="1" applyAlignment="1">
      <alignment horizontal="center"/>
    </xf>
    <xf numFmtId="4" fontId="12" fillId="3" borderId="11" xfId="2" applyNumberFormat="1" applyFont="1" applyFill="1" applyBorder="1" applyAlignment="1">
      <alignment horizontal="center"/>
    </xf>
    <xf numFmtId="4" fontId="12" fillId="3" borderId="9" xfId="2" applyNumberFormat="1" applyFont="1" applyFill="1" applyBorder="1" applyAlignment="1">
      <alignment horizontal="center"/>
    </xf>
    <xf numFmtId="167" fontId="12" fillId="3" borderId="11" xfId="2" applyNumberFormat="1" applyFont="1" applyFill="1" applyBorder="1"/>
    <xf numFmtId="167" fontId="14" fillId="0" borderId="35" xfId="2" applyNumberFormat="1" applyFont="1" applyFill="1" applyBorder="1" applyAlignment="1">
      <alignment horizontal="center"/>
    </xf>
    <xf numFmtId="168" fontId="3" fillId="0" borderId="30" xfId="3" applyNumberFormat="1" applyFont="1" applyFill="1" applyBorder="1" applyAlignment="1">
      <alignment vertical="center"/>
    </xf>
    <xf numFmtId="3" fontId="14" fillId="0" borderId="30" xfId="2" applyNumberFormat="1" applyFont="1" applyFill="1" applyBorder="1"/>
    <xf numFmtId="168" fontId="3" fillId="0" borderId="30" xfId="3" applyNumberFormat="1" applyFont="1" applyBorder="1" applyAlignment="1">
      <alignment horizontal="right"/>
    </xf>
    <xf numFmtId="168" fontId="3" fillId="0" borderId="30" xfId="3" applyNumberFormat="1" applyFont="1" applyBorder="1"/>
    <xf numFmtId="167" fontId="6" fillId="0" borderId="30" xfId="2" applyNumberFormat="1" applyFont="1" applyBorder="1"/>
    <xf numFmtId="167" fontId="6" fillId="0" borderId="31" xfId="2" applyNumberFormat="1" applyFont="1" applyBorder="1"/>
    <xf numFmtId="167" fontId="14" fillId="0" borderId="5" xfId="2" applyNumberFormat="1" applyFont="1" applyFill="1" applyBorder="1" applyAlignment="1">
      <alignment horizontal="center"/>
    </xf>
    <xf numFmtId="4" fontId="14" fillId="0" borderId="6" xfId="2" applyNumberFormat="1" applyFont="1" applyFill="1" applyBorder="1"/>
    <xf numFmtId="3" fontId="14" fillId="0" borderId="6" xfId="2" applyNumberFormat="1" applyFont="1" applyFill="1" applyBorder="1"/>
    <xf numFmtId="3" fontId="14" fillId="0" borderId="7" xfId="2" applyNumberFormat="1" applyFont="1" applyFill="1" applyBorder="1"/>
    <xf numFmtId="167" fontId="14" fillId="0" borderId="36" xfId="2" applyNumberFormat="1" applyFont="1" applyFill="1" applyBorder="1" applyAlignment="1">
      <alignment horizontal="center"/>
    </xf>
    <xf numFmtId="4" fontId="14" fillId="0" borderId="23" xfId="2" applyNumberFormat="1" applyFont="1" applyFill="1" applyBorder="1"/>
    <xf numFmtId="3" fontId="14" fillId="0" borderId="23" xfId="2" applyNumberFormat="1" applyFont="1" applyFill="1" applyBorder="1"/>
    <xf numFmtId="4" fontId="12" fillId="3" borderId="23" xfId="2" applyNumberFormat="1" applyFont="1" applyFill="1" applyBorder="1"/>
    <xf numFmtId="4" fontId="12" fillId="0" borderId="25" xfId="2" applyNumberFormat="1" applyFont="1" applyFill="1" applyBorder="1"/>
    <xf numFmtId="167" fontId="14" fillId="0" borderId="0" xfId="2" applyNumberFormat="1" applyFont="1" applyFill="1" applyBorder="1" applyAlignment="1">
      <alignment horizontal="center"/>
    </xf>
    <xf numFmtId="4" fontId="14" fillId="0" borderId="0" xfId="2" applyNumberFormat="1" applyFont="1" applyFill="1" applyBorder="1"/>
    <xf numFmtId="3" fontId="14" fillId="0" borderId="0" xfId="2" applyNumberFormat="1" applyFont="1" applyFill="1" applyBorder="1"/>
    <xf numFmtId="4" fontId="12" fillId="0" borderId="0" xfId="2" applyNumberFormat="1" applyFont="1" applyFill="1" applyBorder="1"/>
    <xf numFmtId="167" fontId="11" fillId="0" borderId="0" xfId="2" applyNumberFormat="1" applyFont="1" applyFill="1" applyBorder="1"/>
    <xf numFmtId="167" fontId="8" fillId="0" borderId="0" xfId="2" applyNumberFormat="1" applyFont="1" applyFill="1"/>
    <xf numFmtId="167" fontId="15" fillId="0" borderId="0" xfId="2" applyNumberFormat="1" applyFont="1" applyFill="1"/>
    <xf numFmtId="167" fontId="6" fillId="0" borderId="0" xfId="2" applyNumberFormat="1" applyFont="1" applyFill="1"/>
    <xf numFmtId="167" fontId="12" fillId="3" borderId="9" xfId="2" applyNumberFormat="1" applyFont="1" applyFill="1" applyBorder="1" applyAlignment="1">
      <alignment horizontal="center"/>
    </xf>
    <xf numFmtId="167" fontId="3" fillId="0" borderId="0" xfId="2" applyNumberFormat="1" applyFont="1" applyFill="1"/>
    <xf numFmtId="3" fontId="11" fillId="0" borderId="0" xfId="2" applyNumberFormat="1" applyFont="1" applyFill="1" applyBorder="1"/>
    <xf numFmtId="4" fontId="11" fillId="0" borderId="0" xfId="2" applyNumberFormat="1" applyFont="1" applyFill="1" applyBorder="1"/>
    <xf numFmtId="4" fontId="12" fillId="0" borderId="26" xfId="2" applyNumberFormat="1" applyFont="1" applyFill="1" applyBorder="1" applyAlignment="1">
      <alignment horizontal="center"/>
    </xf>
    <xf numFmtId="169" fontId="12" fillId="3" borderId="28" xfId="4" applyNumberFormat="1" applyFont="1" applyFill="1" applyBorder="1" applyAlignment="1">
      <alignment horizontal="center"/>
    </xf>
    <xf numFmtId="167" fontId="3" fillId="3" borderId="19" xfId="2" applyNumberFormat="1" applyFont="1" applyFill="1" applyBorder="1" applyAlignment="1">
      <alignment horizontal="center"/>
    </xf>
    <xf numFmtId="3" fontId="3" fillId="3" borderId="19" xfId="2" applyNumberFormat="1" applyFont="1" applyFill="1" applyBorder="1"/>
    <xf numFmtId="167" fontId="3" fillId="0" borderId="0" xfId="2" applyNumberFormat="1" applyFont="1" applyFill="1" applyAlignment="1">
      <alignment horizontal="right"/>
    </xf>
    <xf numFmtId="167" fontId="3" fillId="0" borderId="0" xfId="2" applyNumberFormat="1" applyFont="1" applyFill="1" applyBorder="1" applyAlignment="1">
      <alignment horizontal="center"/>
    </xf>
    <xf numFmtId="3" fontId="6" fillId="0" borderId="0" xfId="2" applyNumberFormat="1" applyFont="1" applyFill="1" applyBorder="1"/>
    <xf numFmtId="167" fontId="6" fillId="0" borderId="0" xfId="2" applyNumberFormat="1" applyFont="1" applyFill="1" applyAlignment="1">
      <alignment horizontal="right"/>
    </xf>
    <xf numFmtId="10" fontId="11" fillId="0" borderId="0" xfId="2" applyNumberFormat="1" applyFont="1"/>
    <xf numFmtId="167" fontId="14" fillId="0" borderId="0" xfId="2" applyNumberFormat="1" applyFont="1" applyFill="1"/>
    <xf numFmtId="167" fontId="12" fillId="0" borderId="39" xfId="2" applyNumberFormat="1" applyFont="1" applyFill="1" applyBorder="1"/>
    <xf numFmtId="4" fontId="12" fillId="0" borderId="40" xfId="5" applyNumberFormat="1" applyFont="1" applyFill="1" applyBorder="1" applyAlignment="1">
      <alignment horizontal="right"/>
    </xf>
    <xf numFmtId="167" fontId="14" fillId="0" borderId="0" xfId="2" applyNumberFormat="1" applyFont="1" applyFill="1" applyBorder="1"/>
    <xf numFmtId="167" fontId="12" fillId="0" borderId="41" xfId="2" applyNumberFormat="1" applyFont="1" applyFill="1" applyBorder="1"/>
    <xf numFmtId="10" fontId="12" fillId="0" borderId="42" xfId="4" applyNumberFormat="1" applyFont="1" applyFill="1" applyBorder="1" applyAlignment="1">
      <alignment horizontal="right"/>
    </xf>
    <xf numFmtId="167" fontId="12" fillId="0" borderId="43" xfId="2" applyNumberFormat="1" applyFont="1" applyFill="1" applyBorder="1"/>
    <xf numFmtId="2" fontId="12" fillId="0" borderId="44" xfId="2" applyNumberFormat="1" applyFont="1" applyFill="1" applyBorder="1" applyAlignment="1">
      <alignment horizontal="right"/>
    </xf>
    <xf numFmtId="167" fontId="13" fillId="0" borderId="0" xfId="2" applyNumberFormat="1" applyFont="1" applyAlignment="1">
      <alignment horizontal="left"/>
    </xf>
    <xf numFmtId="167" fontId="12" fillId="0" borderId="0" xfId="2" applyNumberFormat="1" applyFont="1" applyAlignment="1">
      <alignment horizontal="center"/>
    </xf>
    <xf numFmtId="167" fontId="14" fillId="0" borderId="0" xfId="2" applyNumberFormat="1" applyFont="1"/>
    <xf numFmtId="167" fontId="14" fillId="0" borderId="0" xfId="2" applyNumberFormat="1" applyFont="1" applyAlignment="1">
      <alignment horizontal="center"/>
    </xf>
    <xf numFmtId="167" fontId="9" fillId="3" borderId="27" xfId="2" applyNumberFormat="1" applyFont="1" applyFill="1" applyBorder="1" applyAlignment="1">
      <alignment horizontal="center"/>
    </xf>
    <xf numFmtId="167" fontId="9" fillId="3" borderId="16" xfId="2" applyNumberFormat="1" applyFont="1" applyFill="1" applyBorder="1" applyAlignment="1">
      <alignment horizontal="center"/>
    </xf>
    <xf numFmtId="167" fontId="9" fillId="3" borderId="3" xfId="2" applyNumberFormat="1" applyFont="1" applyFill="1" applyBorder="1" applyAlignment="1">
      <alignment horizontal="center"/>
    </xf>
    <xf numFmtId="167" fontId="9" fillId="3" borderId="4" xfId="2" applyNumberFormat="1" applyFont="1" applyFill="1" applyBorder="1" applyAlignment="1">
      <alignment horizontal="center"/>
    </xf>
    <xf numFmtId="167" fontId="16" fillId="0" borderId="35" xfId="2" applyNumberFormat="1" applyFont="1" applyBorder="1"/>
    <xf numFmtId="167" fontId="10" fillId="0" borderId="30" xfId="2" applyNumberFormat="1" applyFont="1" applyBorder="1" applyAlignment="1">
      <alignment horizontal="center"/>
    </xf>
    <xf numFmtId="167" fontId="10" fillId="0" borderId="31" xfId="2" applyNumberFormat="1" applyFont="1" applyBorder="1" applyAlignment="1">
      <alignment horizontal="center"/>
    </xf>
    <xf numFmtId="167" fontId="10" fillId="0" borderId="5" xfId="2" applyNumberFormat="1" applyFont="1" applyBorder="1"/>
    <xf numFmtId="3" fontId="10" fillId="0" borderId="6" xfId="2" applyNumberFormat="1" applyFont="1" applyBorder="1" applyAlignment="1">
      <alignment horizontal="right"/>
    </xf>
    <xf numFmtId="167" fontId="10" fillId="0" borderId="36" xfId="2" applyNumberFormat="1" applyFont="1" applyBorder="1"/>
    <xf numFmtId="3" fontId="10" fillId="0" borderId="23" xfId="2" applyNumberFormat="1" applyFont="1" applyBorder="1" applyAlignment="1">
      <alignment horizontal="right"/>
    </xf>
    <xf numFmtId="167" fontId="9" fillId="3" borderId="27" xfId="2" applyNumberFormat="1" applyFont="1" applyFill="1" applyBorder="1"/>
    <xf numFmtId="4" fontId="9" fillId="3" borderId="19" xfId="2" applyNumberFormat="1" applyFont="1" applyFill="1" applyBorder="1" applyAlignment="1">
      <alignment horizontal="right"/>
    </xf>
    <xf numFmtId="167" fontId="17" fillId="0" borderId="0" xfId="2" applyNumberFormat="1" applyFont="1" applyBorder="1"/>
    <xf numFmtId="4" fontId="10" fillId="0" borderId="0" xfId="2" applyNumberFormat="1" applyFont="1" applyBorder="1"/>
    <xf numFmtId="4" fontId="10" fillId="0" borderId="22" xfId="2" applyNumberFormat="1" applyFont="1" applyBorder="1"/>
    <xf numFmtId="167" fontId="10" fillId="3" borderId="2" xfId="2" applyNumberFormat="1" applyFont="1" applyFill="1" applyBorder="1" applyAlignment="1">
      <alignment horizontal="center" wrapText="1"/>
    </xf>
    <xf numFmtId="167" fontId="10" fillId="3" borderId="19" xfId="2" applyNumberFormat="1" applyFont="1" applyFill="1" applyBorder="1" applyAlignment="1">
      <alignment horizontal="center" wrapText="1"/>
    </xf>
    <xf numFmtId="9" fontId="10" fillId="0" borderId="19" xfId="4" applyFont="1" applyFill="1" applyBorder="1" applyAlignment="1">
      <alignment horizontal="center"/>
    </xf>
    <xf numFmtId="4" fontId="3" fillId="3" borderId="19" xfId="2" applyNumberFormat="1" applyFont="1" applyFill="1" applyBorder="1"/>
    <xf numFmtId="4" fontId="10" fillId="0" borderId="3" xfId="2" applyNumberFormat="1" applyFont="1" applyFill="1" applyBorder="1"/>
    <xf numFmtId="4" fontId="10" fillId="0" borderId="4" xfId="2" applyNumberFormat="1" applyFont="1" applyFill="1" applyBorder="1"/>
    <xf numFmtId="4" fontId="20" fillId="0" borderId="0" xfId="2" applyNumberFormat="1" applyFont="1"/>
    <xf numFmtId="165" fontId="0" fillId="0" borderId="6" xfId="1" applyFont="1" applyBorder="1"/>
    <xf numFmtId="172" fontId="6" fillId="0" borderId="31" xfId="1" applyNumberFormat="1" applyFont="1" applyBorder="1"/>
    <xf numFmtId="170" fontId="14" fillId="0" borderId="30" xfId="2" applyNumberFormat="1" applyFont="1" applyFill="1" applyBorder="1" applyAlignment="1">
      <alignment horizontal="center"/>
    </xf>
    <xf numFmtId="4" fontId="14" fillId="0" borderId="30" xfId="2" applyNumberFormat="1" applyFont="1" applyFill="1" applyBorder="1"/>
    <xf numFmtId="4" fontId="14" fillId="0" borderId="31" xfId="2" applyNumberFormat="1" applyFont="1" applyFill="1" applyBorder="1"/>
    <xf numFmtId="170" fontId="14" fillId="0" borderId="6" xfId="2" applyNumberFormat="1" applyFont="1" applyFill="1" applyBorder="1" applyAlignment="1">
      <alignment horizontal="center"/>
    </xf>
    <xf numFmtId="4" fontId="14" fillId="0" borderId="7" xfId="2" applyNumberFormat="1" applyFont="1" applyFill="1" applyBorder="1"/>
    <xf numFmtId="167" fontId="10" fillId="0" borderId="37" xfId="2" applyNumberFormat="1" applyFont="1" applyBorder="1" applyAlignment="1">
      <alignment horizontal="center"/>
    </xf>
    <xf numFmtId="4" fontId="9" fillId="3" borderId="38" xfId="2" applyNumberFormat="1" applyFont="1" applyFill="1" applyBorder="1" applyAlignment="1">
      <alignment horizontal="right"/>
    </xf>
    <xf numFmtId="0" fontId="7" fillId="0" borderId="5" xfId="0" applyFont="1" applyBorder="1" applyAlignment="1">
      <alignment wrapText="1"/>
    </xf>
    <xf numFmtId="14" fontId="23" fillId="0" borderId="6" xfId="0" applyNumberFormat="1" applyFont="1" applyBorder="1" applyAlignment="1">
      <alignment horizontal="right"/>
    </xf>
    <xf numFmtId="0" fontId="23" fillId="0" borderId="6" xfId="0" applyFont="1" applyBorder="1" applyAlignment="1">
      <alignment horizontal="center"/>
    </xf>
    <xf numFmtId="0" fontId="23" fillId="0" borderId="6" xfId="0" applyFont="1" applyBorder="1"/>
    <xf numFmtId="164" fontId="23" fillId="0" borderId="6" xfId="0" applyNumberFormat="1" applyFont="1" applyBorder="1" applyAlignment="1">
      <alignment horizontal="right"/>
    </xf>
    <xf numFmtId="0" fontId="7" fillId="0" borderId="6" xfId="0" applyFont="1" applyBorder="1" applyAlignment="1">
      <alignment wrapText="1"/>
    </xf>
    <xf numFmtId="0" fontId="23" fillId="5" borderId="6" xfId="0" applyFont="1" applyFill="1" applyBorder="1"/>
    <xf numFmtId="0" fontId="24" fillId="6" borderId="6" xfId="0" applyFont="1" applyFill="1" applyBorder="1"/>
    <xf numFmtId="0" fontId="23" fillId="6" borderId="6" xfId="0" applyFont="1" applyFill="1" applyBorder="1"/>
    <xf numFmtId="0" fontId="7" fillId="0" borderId="6" xfId="0" applyFont="1" applyBorder="1"/>
    <xf numFmtId="0" fontId="7" fillId="0" borderId="5" xfId="0" applyFont="1" applyBorder="1"/>
    <xf numFmtId="0" fontId="19" fillId="0" borderId="36" xfId="0" applyFont="1" applyBorder="1"/>
    <xf numFmtId="0" fontId="23" fillId="0" borderId="23" xfId="0" applyFont="1" applyBorder="1"/>
    <xf numFmtId="0" fontId="18" fillId="0" borderId="23" xfId="0" applyFont="1" applyBorder="1"/>
    <xf numFmtId="164" fontId="18" fillId="0" borderId="23" xfId="0" applyNumberFormat="1" applyFont="1" applyBorder="1" applyAlignment="1">
      <alignment horizontal="right"/>
    </xf>
    <xf numFmtId="49" fontId="19" fillId="0" borderId="6" xfId="0" applyNumberFormat="1" applyFont="1" applyBorder="1" applyAlignment="1">
      <alignment wrapText="1"/>
    </xf>
    <xf numFmtId="0" fontId="24" fillId="4" borderId="6" xfId="0" applyFont="1" applyFill="1" applyBorder="1"/>
    <xf numFmtId="0" fontId="24" fillId="6" borderId="34" xfId="0" applyFont="1" applyFill="1" applyBorder="1"/>
    <xf numFmtId="0" fontId="24" fillId="4" borderId="34" xfId="0" applyFont="1" applyFill="1" applyBorder="1"/>
    <xf numFmtId="0" fontId="23" fillId="5" borderId="34" xfId="0" applyFont="1" applyFill="1" applyBorder="1"/>
    <xf numFmtId="0" fontId="18" fillId="0" borderId="24" xfId="0" applyFont="1" applyBorder="1"/>
    <xf numFmtId="0" fontId="24" fillId="6" borderId="45" xfId="0" applyFont="1" applyFill="1" applyBorder="1"/>
    <xf numFmtId="0" fontId="24" fillId="4" borderId="45" xfId="0" applyFont="1" applyFill="1" applyBorder="1"/>
    <xf numFmtId="0" fontId="23" fillId="5" borderId="32" xfId="0" applyFont="1" applyFill="1" applyBorder="1"/>
    <xf numFmtId="0" fontId="18" fillId="0" borderId="46" xfId="0" applyFont="1" applyBorder="1"/>
    <xf numFmtId="0" fontId="18" fillId="0" borderId="6" xfId="0" applyFont="1" applyBorder="1"/>
    <xf numFmtId="165" fontId="0" fillId="0" borderId="9" xfId="1" applyFont="1" applyBorder="1"/>
    <xf numFmtId="0" fontId="0" fillId="0" borderId="0" xfId="0"/>
    <xf numFmtId="0" fontId="2" fillId="0" borderId="0" xfId="9"/>
    <xf numFmtId="0" fontId="21" fillId="0" borderId="0" xfId="9" applyFont="1"/>
    <xf numFmtId="0" fontId="3" fillId="5" borderId="19" xfId="9" applyFont="1" applyFill="1" applyBorder="1"/>
    <xf numFmtId="0" fontId="3" fillId="5" borderId="19" xfId="9" applyFont="1" applyFill="1" applyBorder="1" applyAlignment="1">
      <alignment wrapText="1"/>
    </xf>
    <xf numFmtId="0" fontId="2" fillId="2" borderId="6" xfId="9" applyFill="1" applyBorder="1" applyAlignment="1">
      <alignment horizontal="center"/>
    </xf>
    <xf numFmtId="0" fontId="2" fillId="2" borderId="34" xfId="9" applyFill="1" applyBorder="1" applyAlignment="1">
      <alignment horizontal="center"/>
    </xf>
    <xf numFmtId="0" fontId="2" fillId="0" borderId="13" xfId="9" applyBorder="1"/>
    <xf numFmtId="165" fontId="0" fillId="0" borderId="14" xfId="1" applyFont="1" applyBorder="1"/>
    <xf numFmtId="4" fontId="2" fillId="0" borderId="14" xfId="9" applyNumberFormat="1" applyBorder="1"/>
    <xf numFmtId="165" fontId="2" fillId="0" borderId="15" xfId="9" applyNumberFormat="1" applyBorder="1"/>
    <xf numFmtId="0" fontId="5" fillId="7" borderId="6" xfId="9" applyFont="1" applyFill="1" applyBorder="1"/>
    <xf numFmtId="3" fontId="2" fillId="7" borderId="6" xfId="9" applyNumberFormat="1" applyFill="1" applyBorder="1" applyProtection="1">
      <protection locked="0"/>
    </xf>
    <xf numFmtId="3" fontId="2" fillId="7" borderId="34" xfId="9" applyNumberFormat="1" applyFill="1" applyBorder="1" applyProtection="1">
      <protection locked="0"/>
    </xf>
    <xf numFmtId="0" fontId="2" fillId="0" borderId="5" xfId="9" applyBorder="1"/>
    <xf numFmtId="165" fontId="2" fillId="0" borderId="7" xfId="9" applyNumberFormat="1" applyBorder="1"/>
    <xf numFmtId="0" fontId="2" fillId="0" borderId="8" xfId="9" applyBorder="1"/>
    <xf numFmtId="4" fontId="2" fillId="0" borderId="9" xfId="9" applyNumberFormat="1" applyBorder="1"/>
    <xf numFmtId="165" fontId="2" fillId="0" borderId="10" xfId="9" applyNumberFormat="1" applyBorder="1"/>
    <xf numFmtId="0" fontId="3" fillId="0" borderId="19" xfId="9" applyFont="1" applyBorder="1"/>
    <xf numFmtId="165" fontId="3" fillId="0" borderId="19" xfId="1" applyFont="1" applyBorder="1"/>
    <xf numFmtId="165" fontId="3" fillId="0" borderId="19" xfId="9" applyNumberFormat="1" applyFont="1" applyBorder="1"/>
    <xf numFmtId="0" fontId="4" fillId="7" borderId="6" xfId="9" applyFont="1" applyFill="1" applyBorder="1"/>
    <xf numFmtId="3" fontId="3" fillId="7" borderId="6" xfId="9" applyNumberFormat="1" applyFont="1" applyFill="1" applyBorder="1"/>
    <xf numFmtId="3" fontId="3" fillId="7" borderId="34" xfId="9" applyNumberFormat="1" applyFont="1" applyFill="1" applyBorder="1"/>
    <xf numFmtId="0" fontId="2" fillId="0" borderId="6" xfId="9" applyBorder="1"/>
    <xf numFmtId="0" fontId="5" fillId="7" borderId="6" xfId="9" applyFont="1" applyFill="1" applyBorder="1" applyAlignment="1">
      <alignment wrapText="1"/>
    </xf>
    <xf numFmtId="0" fontId="2" fillId="0" borderId="9" xfId="9" applyBorder="1"/>
    <xf numFmtId="0" fontId="2" fillId="5" borderId="6" xfId="9" applyFill="1" applyBorder="1" applyAlignment="1">
      <alignment horizontal="center"/>
    </xf>
    <xf numFmtId="0" fontId="2" fillId="5" borderId="7" xfId="9" applyFill="1" applyBorder="1" applyAlignment="1">
      <alignment horizontal="center"/>
    </xf>
    <xf numFmtId="0" fontId="5" fillId="7" borderId="5" xfId="9" applyFont="1" applyFill="1" applyBorder="1"/>
    <xf numFmtId="0" fontId="4" fillId="7" borderId="5" xfId="9" applyFont="1" applyFill="1" applyBorder="1"/>
    <xf numFmtId="3" fontId="3" fillId="7" borderId="7" xfId="9" applyNumberFormat="1" applyFont="1" applyFill="1" applyBorder="1"/>
    <xf numFmtId="3" fontId="2" fillId="7" borderId="7" xfId="9" applyNumberFormat="1" applyFill="1" applyBorder="1" applyProtection="1">
      <protection locked="0"/>
    </xf>
    <xf numFmtId="0" fontId="5" fillId="7" borderId="5" xfId="9" applyFont="1" applyFill="1" applyBorder="1" applyAlignment="1">
      <alignment wrapText="1"/>
    </xf>
    <xf numFmtId="0" fontId="4" fillId="7" borderId="36" xfId="9" applyFont="1" applyFill="1" applyBorder="1" applyAlignment="1">
      <alignment wrapText="1"/>
    </xf>
    <xf numFmtId="3" fontId="3" fillId="7" borderId="23" xfId="9" applyNumberFormat="1" applyFont="1" applyFill="1" applyBorder="1"/>
    <xf numFmtId="3" fontId="3" fillId="7" borderId="25" xfId="9" applyNumberFormat="1" applyFont="1" applyFill="1" applyBorder="1"/>
    <xf numFmtId="0" fontId="2" fillId="0" borderId="0" xfId="0" applyFont="1" applyBorder="1"/>
    <xf numFmtId="0" fontId="25" fillId="0" borderId="0" xfId="0" applyFont="1" applyFill="1" applyBorder="1" applyAlignment="1" applyProtection="1"/>
    <xf numFmtId="0" fontId="0" fillId="8" borderId="0" xfId="0" applyFill="1"/>
    <xf numFmtId="0" fontId="4" fillId="8" borderId="0" xfId="0" applyFont="1" applyFill="1" applyAlignment="1">
      <alignment horizontal="center" vertical="center"/>
    </xf>
    <xf numFmtId="0" fontId="7" fillId="8" borderId="0" xfId="0" applyFont="1" applyFill="1"/>
    <xf numFmtId="0" fontId="5" fillId="8" borderId="0" xfId="0" applyFont="1" applyFill="1"/>
    <xf numFmtId="0" fontId="0" fillId="0" borderId="0" xfId="0" applyProtection="1">
      <protection locked="0"/>
    </xf>
    <xf numFmtId="167" fontId="12" fillId="9" borderId="9" xfId="2" applyNumberFormat="1" applyFont="1" applyFill="1" applyBorder="1"/>
    <xf numFmtId="4" fontId="12" fillId="9" borderId="9" xfId="2" applyNumberFormat="1" applyFont="1" applyFill="1" applyBorder="1"/>
    <xf numFmtId="167" fontId="12" fillId="9" borderId="11" xfId="2" applyNumberFormat="1" applyFont="1" applyFill="1" applyBorder="1" applyAlignment="1">
      <alignment horizontal="center"/>
    </xf>
    <xf numFmtId="4" fontId="12" fillId="9" borderId="11" xfId="2" applyNumberFormat="1" applyFont="1" applyFill="1" applyBorder="1" applyAlignment="1">
      <alignment horizontal="center"/>
    </xf>
    <xf numFmtId="4" fontId="12" fillId="9" borderId="9" xfId="2" applyNumberFormat="1" applyFont="1" applyFill="1" applyBorder="1" applyAlignment="1">
      <alignment horizontal="center"/>
    </xf>
    <xf numFmtId="167" fontId="12" fillId="9" borderId="11" xfId="2" applyNumberFormat="1" applyFont="1" applyFill="1" applyBorder="1"/>
    <xf numFmtId="167" fontId="2" fillId="0" borderId="30" xfId="2" applyNumberFormat="1" applyFont="1" applyBorder="1"/>
    <xf numFmtId="167" fontId="2" fillId="0" borderId="31" xfId="2" applyNumberFormat="1" applyFont="1" applyBorder="1"/>
    <xf numFmtId="172" fontId="2" fillId="0" borderId="31" xfId="1" applyNumberFormat="1" applyFont="1" applyBorder="1"/>
    <xf numFmtId="173" fontId="14" fillId="0" borderId="6" xfId="1" applyNumberFormat="1" applyFont="1" applyFill="1" applyBorder="1"/>
    <xf numFmtId="167" fontId="14" fillId="0" borderId="29" xfId="2" applyNumberFormat="1" applyFont="1" applyFill="1" applyBorder="1" applyAlignment="1">
      <alignment horizontal="center"/>
    </xf>
    <xf numFmtId="3" fontId="14" fillId="0" borderId="29" xfId="2" applyNumberFormat="1" applyFont="1" applyFill="1" applyBorder="1"/>
    <xf numFmtId="0" fontId="0" fillId="0" borderId="29" xfId="0" applyBorder="1"/>
    <xf numFmtId="4" fontId="12" fillId="0" borderId="29" xfId="2" applyNumberFormat="1" applyFont="1" applyFill="1" applyBorder="1"/>
    <xf numFmtId="167" fontId="11" fillId="0" borderId="29" xfId="2" applyNumberFormat="1" applyFont="1" applyBorder="1"/>
    <xf numFmtId="167" fontId="2" fillId="0" borderId="0" xfId="2" applyNumberFormat="1" applyFont="1" applyFill="1"/>
    <xf numFmtId="167" fontId="12" fillId="9" borderId="9" xfId="2" applyNumberFormat="1" applyFont="1" applyFill="1" applyBorder="1" applyAlignment="1">
      <alignment horizontal="center"/>
    </xf>
    <xf numFmtId="3" fontId="2" fillId="0" borderId="0" xfId="2" applyNumberFormat="1" applyFont="1" applyFill="1" applyBorder="1"/>
    <xf numFmtId="167" fontId="2" fillId="0" borderId="0" xfId="2" applyNumberFormat="1" applyFont="1" applyFill="1" applyAlignment="1">
      <alignment horizontal="right"/>
    </xf>
    <xf numFmtId="167" fontId="12" fillId="0" borderId="0" xfId="2" applyNumberFormat="1" applyFont="1" applyFill="1"/>
    <xf numFmtId="0" fontId="2" fillId="0" borderId="0" xfId="0" applyFont="1" applyProtection="1">
      <protection locked="0"/>
    </xf>
    <xf numFmtId="4" fontId="12" fillId="9" borderId="34" xfId="2" applyNumberFormat="1" applyFont="1" applyFill="1" applyBorder="1" applyAlignment="1"/>
    <xf numFmtId="4" fontId="12" fillId="9" borderId="32" xfId="2" applyNumberFormat="1" applyFont="1" applyFill="1" applyBorder="1" applyAlignment="1"/>
    <xf numFmtId="0" fontId="2" fillId="0" borderId="0" xfId="0" applyFont="1" applyFill="1" applyBorder="1"/>
    <xf numFmtId="169" fontId="12" fillId="9" borderId="11" xfId="4" applyNumberFormat="1" applyFont="1" applyFill="1" applyBorder="1" applyAlignment="1">
      <alignment horizontal="center"/>
    </xf>
    <xf numFmtId="3" fontId="3" fillId="3" borderId="18" xfId="2" applyNumberFormat="1" applyFont="1" applyFill="1" applyBorder="1"/>
    <xf numFmtId="4" fontId="2" fillId="8" borderId="0" xfId="0" applyNumberFormat="1" applyFont="1" applyFill="1" applyBorder="1"/>
    <xf numFmtId="4" fontId="5" fillId="8" borderId="0" xfId="0" applyNumberFormat="1" applyFont="1" applyFill="1" applyBorder="1"/>
    <xf numFmtId="0" fontId="2" fillId="8" borderId="0" xfId="0" applyFont="1" applyFill="1" applyBorder="1"/>
    <xf numFmtId="165" fontId="0" fillId="0" borderId="6" xfId="1" applyNumberFormat="1" applyFont="1" applyBorder="1" applyProtection="1">
      <protection locked="0"/>
    </xf>
    <xf numFmtId="165" fontId="0" fillId="0" borderId="6" xfId="1" applyNumberFormat="1" applyFont="1" applyBorder="1"/>
    <xf numFmtId="165" fontId="0" fillId="0" borderId="23" xfId="1" applyNumberFormat="1" applyFont="1" applyBorder="1" applyProtection="1">
      <protection locked="0"/>
    </xf>
    <xf numFmtId="165" fontId="0" fillId="0" borderId="23" xfId="1" applyNumberFormat="1" applyFont="1" applyBorder="1"/>
    <xf numFmtId="3" fontId="12" fillId="3" borderId="27" xfId="2" applyNumberFormat="1" applyFont="1" applyFill="1" applyBorder="1" applyAlignment="1">
      <alignment horizontal="center"/>
    </xf>
    <xf numFmtId="3" fontId="12" fillId="3" borderId="16" xfId="2" applyNumberFormat="1" applyFont="1" applyFill="1" applyBorder="1" applyAlignment="1">
      <alignment horizontal="center"/>
    </xf>
    <xf numFmtId="3" fontId="12" fillId="3" borderId="20" xfId="2" applyNumberFormat="1" applyFont="1" applyFill="1" applyBorder="1" applyAlignment="1">
      <alignment horizontal="center"/>
    </xf>
    <xf numFmtId="4" fontId="12" fillId="3" borderId="34" xfId="2" applyNumberFormat="1" applyFont="1" applyFill="1" applyBorder="1" applyAlignment="1">
      <alignment horizontal="center"/>
    </xf>
    <xf numFmtId="4" fontId="12" fillId="3" borderId="33" xfId="2" applyNumberFormat="1" applyFont="1" applyFill="1" applyBorder="1" applyAlignment="1">
      <alignment horizontal="center"/>
    </xf>
    <xf numFmtId="4" fontId="12" fillId="3" borderId="32" xfId="2" applyNumberFormat="1" applyFont="1" applyFill="1" applyBorder="1" applyAlignment="1">
      <alignment horizontal="center"/>
    </xf>
    <xf numFmtId="4" fontId="12" fillId="3" borderId="6" xfId="2" applyNumberFormat="1" applyFont="1" applyFill="1" applyBorder="1" applyAlignment="1">
      <alignment horizontal="center"/>
    </xf>
    <xf numFmtId="167" fontId="12" fillId="5" borderId="1" xfId="2" applyNumberFormat="1" applyFont="1" applyFill="1" applyBorder="1" applyAlignment="1">
      <alignment horizontal="center" wrapText="1"/>
    </xf>
    <xf numFmtId="167" fontId="12" fillId="5" borderId="12" xfId="2" applyNumberFormat="1" applyFont="1" applyFill="1" applyBorder="1" applyAlignment="1">
      <alignment horizontal="center" wrapText="1"/>
    </xf>
    <xf numFmtId="167" fontId="12" fillId="5" borderId="17" xfId="2" applyNumberFormat="1" applyFont="1" applyFill="1" applyBorder="1" applyAlignment="1">
      <alignment horizontal="center" wrapText="1"/>
    </xf>
    <xf numFmtId="0" fontId="26" fillId="9" borderId="27" xfId="0" applyFont="1" applyFill="1" applyBorder="1" applyAlignment="1">
      <alignment horizontal="center"/>
    </xf>
    <xf numFmtId="0" fontId="26" fillId="9" borderId="16" xfId="0" applyFont="1" applyFill="1" applyBorder="1" applyAlignment="1">
      <alignment horizontal="center"/>
    </xf>
    <xf numFmtId="0" fontId="26" fillId="9" borderId="20" xfId="0" applyFont="1" applyFill="1" applyBorder="1" applyAlignment="1">
      <alignment horizontal="center"/>
    </xf>
    <xf numFmtId="3" fontId="27" fillId="9" borderId="47" xfId="2" applyNumberFormat="1" applyFont="1" applyFill="1" applyBorder="1" applyAlignment="1">
      <alignment horizontal="center"/>
    </xf>
    <xf numFmtId="3" fontId="27" fillId="9" borderId="48" xfId="2" applyNumberFormat="1" applyFont="1" applyFill="1" applyBorder="1" applyAlignment="1">
      <alignment horizontal="center"/>
    </xf>
    <xf numFmtId="4" fontId="12" fillId="9" borderId="34" xfId="2" applyNumberFormat="1" applyFont="1" applyFill="1" applyBorder="1" applyAlignment="1">
      <alignment horizontal="center"/>
    </xf>
    <xf numFmtId="4" fontId="12" fillId="9" borderId="33" xfId="2" applyNumberFormat="1" applyFont="1" applyFill="1" applyBorder="1" applyAlignment="1">
      <alignment horizontal="center"/>
    </xf>
    <xf numFmtId="4" fontId="12" fillId="9" borderId="32" xfId="2" applyNumberFormat="1" applyFont="1" applyFill="1" applyBorder="1" applyAlignment="1">
      <alignment horizontal="center"/>
    </xf>
    <xf numFmtId="167" fontId="12" fillId="9" borderId="1" xfId="2" applyNumberFormat="1" applyFont="1" applyFill="1" applyBorder="1" applyAlignment="1">
      <alignment horizontal="center" wrapText="1"/>
    </xf>
    <xf numFmtId="167" fontId="12" fillId="9" borderId="12" xfId="2" applyNumberFormat="1" applyFont="1" applyFill="1" applyBorder="1" applyAlignment="1">
      <alignment horizontal="center" wrapText="1"/>
    </xf>
    <xf numFmtId="167" fontId="12" fillId="9" borderId="17" xfId="2" applyNumberFormat="1" applyFont="1" applyFill="1" applyBorder="1" applyAlignment="1">
      <alignment horizontal="center" wrapText="1"/>
    </xf>
    <xf numFmtId="0" fontId="3" fillId="0" borderId="21" xfId="9" applyFont="1" applyBorder="1" applyAlignment="1">
      <alignment horizontal="left"/>
    </xf>
    <xf numFmtId="0" fontId="21" fillId="2" borderId="9" xfId="9" applyFont="1" applyFill="1" applyBorder="1" applyAlignment="1">
      <alignment horizontal="center"/>
    </xf>
    <xf numFmtId="0" fontId="21" fillId="2" borderId="14" xfId="9" applyFont="1" applyFill="1" applyBorder="1" applyAlignment="1">
      <alignment horizontal="center"/>
    </xf>
    <xf numFmtId="0" fontId="3" fillId="2" borderId="34" xfId="9" applyFont="1" applyFill="1" applyBorder="1" applyAlignment="1">
      <alignment horizontal="center"/>
    </xf>
    <xf numFmtId="0" fontId="3" fillId="2" borderId="33" xfId="9" applyFont="1" applyFill="1" applyBorder="1" applyAlignment="1">
      <alignment horizontal="center"/>
    </xf>
    <xf numFmtId="0" fontId="21" fillId="5" borderId="35" xfId="9" applyFont="1" applyFill="1" applyBorder="1" applyAlignment="1">
      <alignment horizontal="center"/>
    </xf>
    <xf numFmtId="0" fontId="21" fillId="5" borderId="5" xfId="9" applyFont="1" applyFill="1" applyBorder="1" applyAlignment="1">
      <alignment horizontal="center"/>
    </xf>
    <xf numFmtId="0" fontId="3" fillId="5" borderId="30" xfId="9" applyFont="1" applyFill="1" applyBorder="1" applyAlignment="1">
      <alignment horizontal="center"/>
    </xf>
    <xf numFmtId="0" fontId="3" fillId="5" borderId="31" xfId="9" applyFont="1" applyFill="1" applyBorder="1" applyAlignment="1">
      <alignment horizontal="center"/>
    </xf>
    <xf numFmtId="0" fontId="19" fillId="0" borderId="34" xfId="0" applyFont="1" applyBorder="1" applyAlignment="1">
      <alignment horizontal="center" wrapText="1"/>
    </xf>
    <xf numFmtId="0" fontId="19" fillId="0" borderId="33" xfId="0" applyFont="1" applyBorder="1" applyAlignment="1">
      <alignment horizontal="center" wrapText="1"/>
    </xf>
    <xf numFmtId="0" fontId="19" fillId="0" borderId="32" xfId="0" applyFont="1" applyBorder="1" applyAlignment="1">
      <alignment horizontal="center" wrapText="1"/>
    </xf>
    <xf numFmtId="0" fontId="19" fillId="0" borderId="3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30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30" xfId="0" applyFont="1" applyBorder="1" applyAlignment="1">
      <alignment horizontal="center" wrapText="1"/>
    </xf>
    <xf numFmtId="0" fontId="19" fillId="0" borderId="6" xfId="0" applyFont="1" applyBorder="1" applyAlignment="1">
      <alignment horizontal="center" wrapText="1"/>
    </xf>
  </cellXfs>
  <cellStyles count="10">
    <cellStyle name="Euro" xfId="6"/>
    <cellStyle name="Millares" xfId="1" builtinId="3"/>
    <cellStyle name="Millares 2" xfId="8"/>
    <cellStyle name="Millares_EVALUACION_APICOLA_FINAL_formato  Max_corregida 2" xfId="3"/>
    <cellStyle name="Moneda_EVALUACION_APICOLA_FINAL_formato  Max_corregida 2" xfId="5"/>
    <cellStyle name="Normal" xfId="0" builtinId="0"/>
    <cellStyle name="Normal 2" xfId="2"/>
    <cellStyle name="Normal 3" xfId="7"/>
    <cellStyle name="Normal 4" xfId="9"/>
    <cellStyle name="Porcentual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1828800" y="5000625"/>
          <a:ext cx="8572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428625</xdr:colOff>
      <xdr:row>61</xdr:row>
      <xdr:rowOff>0</xdr:rowOff>
    </xdr:from>
    <xdr:to>
      <xdr:col>3</xdr:col>
      <xdr:colOff>95250</xdr:colOff>
      <xdr:row>61</xdr:row>
      <xdr:rowOff>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428750" y="10058400"/>
          <a:ext cx="4953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TIR =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ar\users\pedregal\Documents\FIRCO%202010\PROY%20CAMPO%20AGRICOLA%20SAN%20DIEGO%20PROVAR\CORRIDA%20CAMPO%20AGRICOLA%20SAN%20DIEG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Ing.%20Al&#237;%20Cruz%20Roman/BARCO%20FRAGATA/ROS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 FINANCIERA"/>
      <sheetName val="DEPRECIACION"/>
      <sheetName val="PROVEDORES"/>
      <sheetName val="MEMORIA DE CALCULO"/>
      <sheetName val="PRODUC CON. PROYECTO"/>
      <sheetName val="BALANCE GRAL"/>
      <sheetName val="CAPITAL DE TRABAJO "/>
      <sheetName val="ESTADO DE RESUL"/>
      <sheetName val="Eval. Finan."/>
      <sheetName val="Analisis de Sens"/>
      <sheetName val="Reintegros a FIRCO"/>
    </sheetNames>
    <sheetDataSet>
      <sheetData sheetId="0">
        <row r="15">
          <cell r="F15">
            <v>8683363.290000001</v>
          </cell>
        </row>
        <row r="20">
          <cell r="F20">
            <v>400000</v>
          </cell>
        </row>
        <row r="23">
          <cell r="F23">
            <v>4094617.9054054059</v>
          </cell>
        </row>
        <row r="24">
          <cell r="G24">
            <v>8585754.8954054061</v>
          </cell>
          <cell r="H24">
            <v>4592226.3</v>
          </cell>
        </row>
      </sheetData>
      <sheetData sheetId="1">
        <row r="11">
          <cell r="H11">
            <v>465468.4728333333</v>
          </cell>
        </row>
        <row r="15">
          <cell r="H15">
            <v>80000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  <sheetData sheetId="7">
        <row r="27">
          <cell r="C27">
            <v>2144619.1865702691</v>
          </cell>
          <cell r="D27">
            <v>2293019.1933270269</v>
          </cell>
          <cell r="E27">
            <v>2447322.2752527036</v>
          </cell>
          <cell r="F27">
            <v>2607741.8014765219</v>
          </cell>
          <cell r="G27">
            <v>2552406.0214765216</v>
          </cell>
        </row>
      </sheetData>
      <sheetData sheetId="8">
        <row r="19">
          <cell r="H19">
            <v>4094617.9054054059</v>
          </cell>
        </row>
        <row r="20">
          <cell r="H20">
            <v>5809150.5258333329</v>
          </cell>
        </row>
        <row r="21">
          <cell r="D21">
            <v>2690087.6594036026</v>
          </cell>
          <cell r="E21">
            <v>2838487.66616036</v>
          </cell>
          <cell r="F21">
            <v>2992790.7480860371</v>
          </cell>
          <cell r="G21">
            <v>3153210.274309855</v>
          </cell>
          <cell r="H21">
            <v>13001642.925548594</v>
          </cell>
        </row>
      </sheetData>
      <sheetData sheetId="9" refreshError="1"/>
      <sheetData sheetId="10">
        <row r="9">
          <cell r="E9">
            <v>900000</v>
          </cell>
        </row>
        <row r="10">
          <cell r="E10">
            <v>900000</v>
          </cell>
          <cell r="F10">
            <v>900000</v>
          </cell>
        </row>
        <row r="11">
          <cell r="E11">
            <v>900000</v>
          </cell>
          <cell r="F11">
            <v>900000</v>
          </cell>
        </row>
        <row r="12">
          <cell r="E12">
            <v>900000</v>
          </cell>
          <cell r="F12">
            <v>900000</v>
          </cell>
        </row>
        <row r="13">
          <cell r="E13">
            <v>992226.29999999981</v>
          </cell>
          <cell r="F13">
            <v>992226.29999999981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 DE LAS  APORTACIONES"/>
      <sheetName val="DEPRECIACIONES"/>
      <sheetName val="MEMORIAS DE CALCULO"/>
      <sheetName val="INDICADORES TECNICOS"/>
      <sheetName val="PRODUCCION Y VENTAS"/>
      <sheetName val="COSTOS DE PRODUCC."/>
      <sheetName val="CAPITAL DE TRABAJO"/>
      <sheetName val="FLUJO DE EFECTIVO"/>
      <sheetName val="ESTADO DE RESUL"/>
      <sheetName val="BALANCE GRAL"/>
      <sheetName val="INDICADORES FINAN"/>
      <sheetName val="ESQUEMA DE AHORRO"/>
    </sheetNames>
    <sheetDataSet>
      <sheetData sheetId="0">
        <row r="25">
          <cell r="F25">
            <v>182853</v>
          </cell>
        </row>
        <row r="27">
          <cell r="F27">
            <v>18964.487999999998</v>
          </cell>
        </row>
        <row r="30">
          <cell r="F30">
            <v>201817.48800000001</v>
          </cell>
        </row>
        <row r="32">
          <cell r="F32">
            <v>18000</v>
          </cell>
        </row>
      </sheetData>
      <sheetData sheetId="1">
        <row r="12">
          <cell r="F12">
            <v>10945.358333333335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>
        <row r="24">
          <cell r="C24">
            <v>0</v>
          </cell>
        </row>
        <row r="26">
          <cell r="C26">
            <v>29600.690233333306</v>
          </cell>
          <cell r="D26">
            <v>30718.563465333307</v>
          </cell>
          <cell r="E26">
            <v>31869.972894293311</v>
          </cell>
          <cell r="F26">
            <v>33055.924606122106</v>
          </cell>
          <cell r="G26">
            <v>34277.454869305773</v>
          </cell>
        </row>
      </sheetData>
      <sheetData sheetId="9" refreshError="1"/>
      <sheetData sheetId="10">
        <row r="9">
          <cell r="J9">
            <v>40546.048566666635</v>
          </cell>
        </row>
        <row r="10">
          <cell r="J10">
            <v>41663.921798666634</v>
          </cell>
        </row>
        <row r="11">
          <cell r="J11">
            <v>42815.331227626637</v>
          </cell>
        </row>
        <row r="12">
          <cell r="J12">
            <v>44001.282939455443</v>
          </cell>
        </row>
        <row r="13">
          <cell r="C13">
            <v>123356.34183651071</v>
          </cell>
          <cell r="D13">
            <v>78133.528633871581</v>
          </cell>
        </row>
      </sheetData>
      <sheetData sheetId="1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46"/>
  <sheetViews>
    <sheetView view="pageBreakPreview" topLeftCell="A28" workbookViewId="0">
      <selection activeCell="D9" sqref="D9"/>
    </sheetView>
  </sheetViews>
  <sheetFormatPr baseColWidth="10" defaultRowHeight="12" x14ac:dyDescent="0.15"/>
  <cols>
    <col min="1" max="1" width="11.42578125" style="3"/>
    <col min="2" max="2" width="12.7109375" style="3" bestFit="1" customWidth="1"/>
    <col min="3" max="3" width="16.28515625" style="3" customWidth="1"/>
    <col min="4" max="4" width="14.42578125" style="3" customWidth="1"/>
    <col min="5" max="5" width="17.28515625" style="3" bestFit="1" customWidth="1"/>
    <col min="6" max="6" width="14.5703125" style="3" bestFit="1" customWidth="1"/>
    <col min="7" max="7" width="16.28515625" style="3" bestFit="1" customWidth="1"/>
    <col min="8" max="8" width="14.140625" style="3" bestFit="1" customWidth="1"/>
    <col min="9" max="9" width="13.140625" style="3" bestFit="1" customWidth="1"/>
    <col min="10" max="10" width="17.140625" style="3" bestFit="1" customWidth="1"/>
    <col min="11" max="11" width="38.42578125" style="3" customWidth="1"/>
    <col min="12" max="12" width="16.42578125" style="3" customWidth="1"/>
    <col min="13" max="14" width="11.42578125" style="3"/>
    <col min="15" max="15" width="14.7109375" style="3" customWidth="1"/>
    <col min="16" max="16384" width="11.42578125" style="3"/>
  </cols>
  <sheetData>
    <row r="2" spans="2:10" ht="12.75" thickBot="1" x14ac:dyDescent="0.2"/>
    <row r="3" spans="2:10" ht="13.5" thickBot="1" x14ac:dyDescent="0.25">
      <c r="B3" s="198" t="s">
        <v>12</v>
      </c>
      <c r="C3" s="199"/>
      <c r="D3" s="199"/>
      <c r="E3" s="199"/>
      <c r="F3" s="199"/>
      <c r="G3" s="199"/>
      <c r="H3" s="199"/>
      <c r="I3" s="200"/>
    </row>
    <row r="4" spans="2:10" ht="13.5" thickBot="1" x14ac:dyDescent="0.25">
      <c r="B4" s="4" t="s">
        <v>14</v>
      </c>
      <c r="C4" s="5"/>
      <c r="D4" s="5"/>
      <c r="E4" s="5"/>
      <c r="F4" s="5"/>
      <c r="G4" s="5"/>
      <c r="H4" s="5"/>
      <c r="I4" s="5"/>
    </row>
    <row r="5" spans="2:10" ht="12.75" x14ac:dyDescent="0.2">
      <c r="B5" s="6"/>
      <c r="C5" s="7"/>
      <c r="D5" s="201" t="s">
        <v>15</v>
      </c>
      <c r="E5" s="202"/>
      <c r="F5" s="202"/>
      <c r="G5" s="203"/>
      <c r="H5" s="204" t="s">
        <v>16</v>
      </c>
      <c r="I5" s="204"/>
      <c r="J5" s="205" t="s">
        <v>49</v>
      </c>
    </row>
    <row r="6" spans="2:10" ht="12.75" x14ac:dyDescent="0.2">
      <c r="B6" s="8" t="s">
        <v>17</v>
      </c>
      <c r="C6" s="9" t="s">
        <v>18</v>
      </c>
      <c r="D6" s="9" t="s">
        <v>19</v>
      </c>
      <c r="E6" s="10" t="s">
        <v>20</v>
      </c>
      <c r="F6" s="10" t="s">
        <v>21</v>
      </c>
      <c r="G6" s="10" t="s">
        <v>22</v>
      </c>
      <c r="H6" s="10" t="s">
        <v>23</v>
      </c>
      <c r="I6" s="10" t="s">
        <v>24</v>
      </c>
      <c r="J6" s="206"/>
    </row>
    <row r="7" spans="2:10" ht="13.5" thickBot="1" x14ac:dyDescent="0.25">
      <c r="B7" s="8" t="s">
        <v>25</v>
      </c>
      <c r="C7" s="8" t="s">
        <v>26</v>
      </c>
      <c r="D7" s="8" t="s">
        <v>26</v>
      </c>
      <c r="E7" s="11"/>
      <c r="F7" s="11"/>
      <c r="G7" s="11"/>
      <c r="H7" s="8" t="s">
        <v>27</v>
      </c>
      <c r="I7" s="8" t="s">
        <v>28</v>
      </c>
      <c r="J7" s="207"/>
    </row>
    <row r="8" spans="2:10" ht="13.5" thickBot="1" x14ac:dyDescent="0.25">
      <c r="B8" s="12">
        <v>0</v>
      </c>
      <c r="C8" s="13"/>
      <c r="D8" s="14">
        <v>0</v>
      </c>
      <c r="E8" s="15" t="e">
        <f>#REF!</f>
        <v>#REF!</v>
      </c>
      <c r="F8" s="16" t="e">
        <f>#REF!</f>
        <v>#REF!</v>
      </c>
      <c r="G8" s="16" t="e">
        <f>#REF!*-1</f>
        <v>#REF!</v>
      </c>
      <c r="H8" s="17"/>
      <c r="I8" s="18"/>
      <c r="J8" s="85" t="e">
        <f>C8-D8-E8-F8-G8+H8+I8</f>
        <v>#REF!</v>
      </c>
    </row>
    <row r="9" spans="2:10" ht="13.5" thickBot="1" x14ac:dyDescent="0.25">
      <c r="B9" s="19">
        <v>1</v>
      </c>
      <c r="C9" s="20" t="e">
        <f t="array" ref="C9:C13">TRANSPOSE(#REF!)</f>
        <v>#REF!</v>
      </c>
      <c r="D9" s="20"/>
      <c r="E9" s="21"/>
      <c r="F9" s="21"/>
      <c r="G9" s="21"/>
      <c r="H9" s="21"/>
      <c r="I9" s="22"/>
      <c r="J9" s="85" t="e">
        <f t="shared" ref="J9:J14" si="0">C9-D9-E9-F9-G9+H9+I9</f>
        <v>#REF!</v>
      </c>
    </row>
    <row r="10" spans="2:10" ht="13.5" thickBot="1" x14ac:dyDescent="0.25">
      <c r="B10" s="19">
        <v>2</v>
      </c>
      <c r="C10" s="20" t="e">
        <v>#REF!</v>
      </c>
      <c r="D10" s="20"/>
      <c r="E10" s="21"/>
      <c r="F10" s="21"/>
      <c r="G10" s="21"/>
      <c r="H10" s="21"/>
      <c r="I10" s="22"/>
      <c r="J10" s="85" t="e">
        <f t="shared" si="0"/>
        <v>#REF!</v>
      </c>
    </row>
    <row r="11" spans="2:10" ht="13.5" thickBot="1" x14ac:dyDescent="0.25">
      <c r="B11" s="19">
        <v>3</v>
      </c>
      <c r="C11" s="20" t="e">
        <v>#REF!</v>
      </c>
      <c r="D11" s="20"/>
      <c r="E11" s="21"/>
      <c r="F11" s="21"/>
      <c r="G11" s="21"/>
      <c r="H11" s="21"/>
      <c r="I11" s="22"/>
      <c r="J11" s="85" t="e">
        <f t="shared" si="0"/>
        <v>#REF!</v>
      </c>
    </row>
    <row r="12" spans="2:10" ht="13.5" thickBot="1" x14ac:dyDescent="0.25">
      <c r="B12" s="19">
        <v>4</v>
      </c>
      <c r="C12" s="20" t="e">
        <v>#REF!</v>
      </c>
      <c r="D12" s="20"/>
      <c r="E12" s="21"/>
      <c r="F12" s="21"/>
      <c r="G12" s="21"/>
      <c r="H12" s="21"/>
      <c r="I12" s="22"/>
      <c r="J12" s="85" t="e">
        <f t="shared" si="0"/>
        <v>#REF!</v>
      </c>
    </row>
    <row r="13" spans="2:10" ht="13.5" thickBot="1" x14ac:dyDescent="0.25">
      <c r="B13" s="19">
        <v>5</v>
      </c>
      <c r="C13" s="20" t="e">
        <v>#REF!</v>
      </c>
      <c r="D13" s="20"/>
      <c r="E13" s="21"/>
      <c r="F13" s="21"/>
      <c r="G13" s="21"/>
      <c r="H13" s="21" t="e">
        <f>#REF!</f>
        <v>#REF!</v>
      </c>
      <c r="I13" s="22" t="e">
        <f>G8</f>
        <v>#REF!</v>
      </c>
      <c r="J13" s="85" t="e">
        <f t="shared" si="0"/>
        <v>#REF!</v>
      </c>
    </row>
    <row r="14" spans="2:10" ht="13.5" thickBot="1" x14ac:dyDescent="0.25">
      <c r="B14" s="19">
        <v>6</v>
      </c>
      <c r="C14" s="20"/>
      <c r="D14" s="20"/>
      <c r="E14" s="21"/>
      <c r="F14" s="21"/>
      <c r="G14" s="21"/>
      <c r="H14" s="21"/>
      <c r="I14" s="22"/>
      <c r="J14" s="85">
        <f t="shared" si="0"/>
        <v>0</v>
      </c>
    </row>
    <row r="15" spans="2:10" ht="12.75" x14ac:dyDescent="0.2">
      <c r="B15" s="19">
        <v>7</v>
      </c>
      <c r="C15" s="20"/>
      <c r="D15" s="20"/>
      <c r="E15" s="21"/>
      <c r="F15" s="21"/>
      <c r="G15" s="21"/>
      <c r="J15" s="85" t="e">
        <f>C15-D15-E15-F15-G15+H13+I13</f>
        <v>#REF!</v>
      </c>
    </row>
    <row r="16" spans="2:10" ht="13.5" hidden="1" thickBot="1" x14ac:dyDescent="0.25">
      <c r="B16" s="23"/>
      <c r="C16" s="24"/>
      <c r="D16" s="24"/>
      <c r="E16" s="25"/>
      <c r="F16" s="25"/>
      <c r="G16" s="25"/>
      <c r="H16" s="26"/>
      <c r="I16" s="27"/>
    </row>
    <row r="17" spans="2:16" ht="12.75" x14ac:dyDescent="0.2">
      <c r="B17" s="28"/>
      <c r="C17" s="29"/>
      <c r="D17" s="29"/>
      <c r="E17" s="30"/>
      <c r="F17" s="30"/>
      <c r="G17" s="30"/>
      <c r="H17" s="31"/>
      <c r="I17" s="31"/>
      <c r="K17" s="32"/>
      <c r="L17" s="32"/>
      <c r="M17" s="32"/>
      <c r="N17" s="32"/>
      <c r="O17" s="32"/>
      <c r="P17" s="32"/>
    </row>
    <row r="18" spans="2:16" ht="12.75" x14ac:dyDescent="0.2">
      <c r="B18" s="33" t="s">
        <v>29</v>
      </c>
      <c r="C18" s="34"/>
      <c r="D18" s="34"/>
      <c r="E18" s="34"/>
      <c r="F18" s="35"/>
      <c r="G18" s="35"/>
      <c r="H18" s="35"/>
      <c r="I18" s="35"/>
      <c r="K18" s="32"/>
      <c r="L18" s="32"/>
      <c r="M18" s="32"/>
      <c r="N18" s="32"/>
      <c r="O18" s="32"/>
      <c r="P18" s="32"/>
    </row>
    <row r="19" spans="2:16" ht="12.75" x14ac:dyDescent="0.2">
      <c r="B19" s="36" t="s">
        <v>30</v>
      </c>
      <c r="C19" s="10" t="s">
        <v>31</v>
      </c>
      <c r="D19" s="10" t="s">
        <v>32</v>
      </c>
      <c r="E19" s="10" t="s">
        <v>33</v>
      </c>
      <c r="F19" s="10" t="s">
        <v>31</v>
      </c>
      <c r="G19" s="10" t="s">
        <v>32</v>
      </c>
      <c r="H19" s="10" t="s">
        <v>34</v>
      </c>
      <c r="I19" s="37"/>
      <c r="K19" s="32"/>
      <c r="L19" s="32"/>
      <c r="M19" s="32"/>
      <c r="N19" s="38"/>
      <c r="O19" s="39"/>
      <c r="P19" s="32"/>
    </row>
    <row r="20" spans="2:16" ht="12.75" x14ac:dyDescent="0.2">
      <c r="B20" s="8" t="s">
        <v>35</v>
      </c>
      <c r="C20" s="9" t="s">
        <v>26</v>
      </c>
      <c r="D20" s="9" t="s">
        <v>26</v>
      </c>
      <c r="E20" s="9" t="s">
        <v>36</v>
      </c>
      <c r="F20" s="9" t="s">
        <v>37</v>
      </c>
      <c r="G20" s="9" t="s">
        <v>37</v>
      </c>
      <c r="H20" s="9" t="s">
        <v>38</v>
      </c>
      <c r="I20" s="40"/>
      <c r="K20" s="32"/>
      <c r="L20" s="32"/>
      <c r="M20" s="32"/>
      <c r="N20" s="38"/>
      <c r="O20" s="39"/>
      <c r="P20" s="32"/>
    </row>
    <row r="21" spans="2:16" ht="13.5" thickBot="1" x14ac:dyDescent="0.25">
      <c r="B21" s="8" t="s">
        <v>25</v>
      </c>
      <c r="C21" s="8" t="s">
        <v>39</v>
      </c>
      <c r="D21" s="8" t="s">
        <v>39</v>
      </c>
      <c r="E21" s="41">
        <v>0.12</v>
      </c>
      <c r="F21" s="8" t="s">
        <v>39</v>
      </c>
      <c r="G21" s="8" t="s">
        <v>39</v>
      </c>
      <c r="H21" s="8" t="s">
        <v>39</v>
      </c>
      <c r="I21" s="37"/>
      <c r="K21" s="32"/>
      <c r="L21" s="32"/>
      <c r="M21" s="32"/>
      <c r="N21" s="38"/>
      <c r="O21" s="39"/>
      <c r="P21" s="32"/>
    </row>
    <row r="22" spans="2:16" ht="12.75" x14ac:dyDescent="0.2">
      <c r="B22" s="12">
        <v>0</v>
      </c>
      <c r="C22" s="14" t="e">
        <f t="shared" ref="C22:C27" si="1">SUM(D8,E8,F8,G8)</f>
        <v>#REF!</v>
      </c>
      <c r="D22" s="14">
        <f>C8+H8+I8</f>
        <v>0</v>
      </c>
      <c r="E22" s="86">
        <f t="shared" ref="E22:E27" si="2">1/(1+$E$21)^B22</f>
        <v>1</v>
      </c>
      <c r="F22" s="87" t="e">
        <f t="shared" ref="F22:F27" si="3">+E22*C22</f>
        <v>#REF!</v>
      </c>
      <c r="G22" s="87">
        <f>+E22*D22</f>
        <v>0</v>
      </c>
      <c r="H22" s="88" t="e">
        <f t="shared" ref="H22:H27" si="4">+G22-F22</f>
        <v>#REF!</v>
      </c>
      <c r="I22" s="35"/>
      <c r="K22" s="32"/>
      <c r="L22" s="32"/>
      <c r="M22" s="32"/>
      <c r="N22" s="38"/>
      <c r="O22" s="39"/>
      <c r="P22" s="32"/>
    </row>
    <row r="23" spans="2:16" ht="12.75" x14ac:dyDescent="0.2">
      <c r="B23" s="19">
        <v>1</v>
      </c>
      <c r="C23" s="21">
        <f t="shared" si="1"/>
        <v>0</v>
      </c>
      <c r="D23" s="21" t="e">
        <f t="shared" ref="D23:D26" si="5">C9+H9+I9</f>
        <v>#REF!</v>
      </c>
      <c r="E23" s="89">
        <f t="shared" si="2"/>
        <v>0.89285714285714279</v>
      </c>
      <c r="F23" s="20">
        <f t="shared" si="3"/>
        <v>0</v>
      </c>
      <c r="G23" s="20" t="e">
        <f>+E23*D23</f>
        <v>#REF!</v>
      </c>
      <c r="H23" s="90" t="e">
        <f t="shared" si="4"/>
        <v>#REF!</v>
      </c>
      <c r="I23" s="35"/>
      <c r="K23" s="32"/>
      <c r="L23" s="32"/>
      <c r="M23" s="32"/>
      <c r="N23" s="38"/>
      <c r="O23" s="39"/>
      <c r="P23" s="32"/>
    </row>
    <row r="24" spans="2:16" ht="12.75" x14ac:dyDescent="0.2">
      <c r="B24" s="19">
        <v>2</v>
      </c>
      <c r="C24" s="21">
        <f t="shared" si="1"/>
        <v>0</v>
      </c>
      <c r="D24" s="21" t="e">
        <f t="shared" si="5"/>
        <v>#REF!</v>
      </c>
      <c r="E24" s="89">
        <f t="shared" si="2"/>
        <v>0.79719387755102034</v>
      </c>
      <c r="F24" s="20">
        <f t="shared" si="3"/>
        <v>0</v>
      </c>
      <c r="G24" s="20" t="e">
        <f>+E24*D24</f>
        <v>#REF!</v>
      </c>
      <c r="H24" s="90" t="e">
        <f t="shared" si="4"/>
        <v>#REF!</v>
      </c>
      <c r="I24" s="35"/>
      <c r="K24" s="32"/>
      <c r="L24" s="32"/>
      <c r="M24" s="32"/>
      <c r="N24" s="32"/>
      <c r="O24" s="39"/>
      <c r="P24" s="32"/>
    </row>
    <row r="25" spans="2:16" ht="12.75" x14ac:dyDescent="0.2">
      <c r="B25" s="19">
        <v>3</v>
      </c>
      <c r="C25" s="21">
        <f t="shared" si="1"/>
        <v>0</v>
      </c>
      <c r="D25" s="21" t="e">
        <f t="shared" si="5"/>
        <v>#REF!</v>
      </c>
      <c r="E25" s="89">
        <f t="shared" si="2"/>
        <v>0.71178024781341087</v>
      </c>
      <c r="F25" s="20">
        <f t="shared" si="3"/>
        <v>0</v>
      </c>
      <c r="G25" s="20" t="e">
        <f>+E25*D25</f>
        <v>#REF!</v>
      </c>
      <c r="H25" s="90" t="e">
        <f t="shared" si="4"/>
        <v>#REF!</v>
      </c>
      <c r="I25" s="35"/>
      <c r="K25" s="32"/>
      <c r="L25" s="32"/>
      <c r="M25" s="32"/>
      <c r="N25" s="32"/>
      <c r="O25" s="32"/>
      <c r="P25" s="32"/>
    </row>
    <row r="26" spans="2:16" ht="12.75" x14ac:dyDescent="0.2">
      <c r="B26" s="19">
        <v>4</v>
      </c>
      <c r="C26" s="21">
        <f t="shared" si="1"/>
        <v>0</v>
      </c>
      <c r="D26" s="21" t="e">
        <f t="shared" si="5"/>
        <v>#REF!</v>
      </c>
      <c r="E26" s="89">
        <f t="shared" si="2"/>
        <v>0.63551807840483121</v>
      </c>
      <c r="F26" s="20">
        <f t="shared" si="3"/>
        <v>0</v>
      </c>
      <c r="G26" s="20" t="e">
        <f>+E26*D26</f>
        <v>#REF!</v>
      </c>
      <c r="H26" s="90" t="e">
        <f t="shared" si="4"/>
        <v>#REF!</v>
      </c>
      <c r="I26" s="35"/>
    </row>
    <row r="27" spans="2:16" ht="13.5" thickBot="1" x14ac:dyDescent="0.25">
      <c r="B27" s="19">
        <v>5</v>
      </c>
      <c r="C27" s="21">
        <f t="shared" si="1"/>
        <v>0</v>
      </c>
      <c r="D27" s="21" t="e">
        <f>C13</f>
        <v>#REF!</v>
      </c>
      <c r="E27" s="89">
        <f t="shared" si="2"/>
        <v>0.56742685571859919</v>
      </c>
      <c r="F27" s="20">
        <f t="shared" si="3"/>
        <v>0</v>
      </c>
      <c r="G27" s="20" t="e">
        <f t="shared" ref="G27" si="6">+E27*D27</f>
        <v>#REF!</v>
      </c>
      <c r="H27" s="90" t="e">
        <f t="shared" si="4"/>
        <v>#REF!</v>
      </c>
      <c r="I27" s="35"/>
    </row>
    <row r="28" spans="2:16" ht="13.5" thickBot="1" x14ac:dyDescent="0.25">
      <c r="B28" s="42" t="s">
        <v>3</v>
      </c>
      <c r="C28" s="43" t="e">
        <f>SUM(C22:C27)</f>
        <v>#REF!</v>
      </c>
      <c r="D28" s="43" t="e">
        <f>SUM(D22:D27)</f>
        <v>#REF!</v>
      </c>
      <c r="E28" s="43"/>
      <c r="F28" s="80" t="e">
        <f>SUM(F22:F27)</f>
        <v>#REF!</v>
      </c>
      <c r="G28" s="80" t="e">
        <f>SUM(G22:G27)</f>
        <v>#REF!</v>
      </c>
      <c r="H28" s="80" t="e">
        <f>SUM(H22:H27)</f>
        <v>#REF!</v>
      </c>
      <c r="I28" s="44"/>
      <c r="J28" s="83"/>
    </row>
    <row r="29" spans="2:16" ht="12.75" x14ac:dyDescent="0.2">
      <c r="B29" s="45"/>
      <c r="C29" s="46"/>
      <c r="D29" s="46"/>
      <c r="E29" s="46"/>
      <c r="F29" s="46"/>
      <c r="G29" s="46"/>
      <c r="H29" s="46"/>
      <c r="I29" s="47"/>
      <c r="J29" s="48"/>
    </row>
    <row r="30" spans="2:16" ht="12.75" x14ac:dyDescent="0.2">
      <c r="B30" s="45"/>
      <c r="C30" s="46"/>
      <c r="D30" s="46"/>
      <c r="E30" s="46"/>
      <c r="F30" s="46"/>
      <c r="G30" s="46"/>
      <c r="H30" s="46"/>
      <c r="I30" s="35"/>
    </row>
    <row r="31" spans="2:16" ht="13.5" thickBot="1" x14ac:dyDescent="0.25">
      <c r="B31" s="35"/>
      <c r="C31" s="49" t="s">
        <v>40</v>
      </c>
      <c r="D31" s="49"/>
      <c r="E31" s="49"/>
      <c r="F31" s="49"/>
      <c r="G31" s="49"/>
      <c r="H31" s="49"/>
      <c r="I31" s="35"/>
    </row>
    <row r="32" spans="2:16" ht="13.5" thickTop="1" x14ac:dyDescent="0.2">
      <c r="B32" s="35"/>
      <c r="C32" s="35"/>
      <c r="D32" s="50" t="s">
        <v>41</v>
      </c>
      <c r="E32" s="51" t="e">
        <f>H28</f>
        <v>#REF!</v>
      </c>
      <c r="F32" s="49"/>
      <c r="G32" s="52"/>
      <c r="H32" s="52"/>
      <c r="I32" s="35"/>
    </row>
    <row r="33" spans="2:9" ht="12.75" x14ac:dyDescent="0.2">
      <c r="B33" s="35"/>
      <c r="C33" s="35"/>
      <c r="D33" s="53" t="s">
        <v>42</v>
      </c>
      <c r="E33" s="54" t="e">
        <f>IRR((D22:D27)-(C22:C27))</f>
        <v>#VALUE!</v>
      </c>
      <c r="F33" s="49"/>
      <c r="G33" s="52"/>
      <c r="H33" s="52"/>
      <c r="I33" s="35"/>
    </row>
    <row r="34" spans="2:9" ht="13.5" thickBot="1" x14ac:dyDescent="0.25">
      <c r="B34" s="35"/>
      <c r="C34" s="35"/>
      <c r="D34" s="55" t="s">
        <v>43</v>
      </c>
      <c r="E34" s="56" t="e">
        <f>G28/F28</f>
        <v>#REF!</v>
      </c>
      <c r="F34" s="49"/>
      <c r="G34" s="52"/>
      <c r="H34" s="52"/>
      <c r="I34" s="5"/>
    </row>
    <row r="35" spans="2:9" ht="13.5" thickTop="1" x14ac:dyDescent="0.2">
      <c r="B35" s="31"/>
      <c r="C35" s="29"/>
      <c r="D35" s="29"/>
      <c r="E35" s="29"/>
      <c r="F35" s="29"/>
      <c r="G35" s="29"/>
      <c r="H35" s="29"/>
      <c r="I35" s="29"/>
    </row>
    <row r="36" spans="2:9" ht="12.75" x14ac:dyDescent="0.2">
      <c r="B36" s="57" t="s">
        <v>44</v>
      </c>
      <c r="C36" s="58"/>
      <c r="D36" s="58"/>
      <c r="E36" s="58"/>
      <c r="F36" s="58"/>
      <c r="G36" s="58"/>
      <c r="H36" s="58"/>
      <c r="I36" s="58"/>
    </row>
    <row r="37" spans="2:9" ht="13.5" thickBot="1" x14ac:dyDescent="0.25">
      <c r="B37" s="59"/>
      <c r="C37" s="59"/>
      <c r="D37" s="59"/>
      <c r="E37" s="60" t="s">
        <v>39</v>
      </c>
      <c r="F37" s="59"/>
      <c r="G37" s="59"/>
      <c r="H37" s="59"/>
      <c r="I37" s="59"/>
    </row>
    <row r="38" spans="2:9" ht="13.5" thickBot="1" x14ac:dyDescent="0.25">
      <c r="B38" s="61" t="s">
        <v>4</v>
      </c>
      <c r="C38" s="62" t="s">
        <v>5</v>
      </c>
      <c r="D38" s="63" t="s">
        <v>6</v>
      </c>
      <c r="E38" s="62" t="s">
        <v>7</v>
      </c>
      <c r="F38" s="64" t="s">
        <v>8</v>
      </c>
      <c r="G38" s="64" t="s">
        <v>9</v>
      </c>
      <c r="H38" s="64" t="s">
        <v>10</v>
      </c>
      <c r="I38" s="64" t="s">
        <v>11</v>
      </c>
    </row>
    <row r="39" spans="2:9" ht="12.75" x14ac:dyDescent="0.2">
      <c r="B39" s="65"/>
      <c r="C39" s="66"/>
      <c r="D39" s="66"/>
      <c r="E39" s="66"/>
      <c r="F39" s="67"/>
      <c r="G39" s="67"/>
      <c r="H39" s="67"/>
      <c r="I39" s="91"/>
    </row>
    <row r="40" spans="2:9" ht="12.75" x14ac:dyDescent="0.2">
      <c r="B40" s="68" t="s">
        <v>18</v>
      </c>
      <c r="C40" s="69" t="e">
        <f>#REF!</f>
        <v>#REF!</v>
      </c>
      <c r="D40" s="69" t="e">
        <f>#REF!</f>
        <v>#REF!</v>
      </c>
      <c r="E40" s="69" t="e">
        <f>#REF!</f>
        <v>#REF!</v>
      </c>
      <c r="F40" s="69" t="e">
        <f>#REF!</f>
        <v>#REF!</v>
      </c>
      <c r="G40" s="69" t="e">
        <f>#REF!</f>
        <v>#REF!</v>
      </c>
      <c r="H40" s="69" t="e">
        <f>#REF!</f>
        <v>#REF!</v>
      </c>
      <c r="I40" s="69" t="e">
        <f>#REF!</f>
        <v>#REF!</v>
      </c>
    </row>
    <row r="41" spans="2:9" ht="12.75" x14ac:dyDescent="0.2">
      <c r="B41" s="68" t="s">
        <v>45</v>
      </c>
      <c r="C41" s="69" t="e">
        <f>#REF!+#REF!</f>
        <v>#REF!</v>
      </c>
      <c r="D41" s="69" t="e">
        <f>#REF!+#REF!</f>
        <v>#REF!</v>
      </c>
      <c r="E41" s="69" t="e">
        <f>D41</f>
        <v>#REF!</v>
      </c>
      <c r="F41" s="69" t="e">
        <f t="shared" ref="F41:I41" si="7">E41</f>
        <v>#REF!</v>
      </c>
      <c r="G41" s="69" t="e">
        <f t="shared" si="7"/>
        <v>#REF!</v>
      </c>
      <c r="H41" s="69" t="e">
        <f t="shared" si="7"/>
        <v>#REF!</v>
      </c>
      <c r="I41" s="69" t="e">
        <f t="shared" si="7"/>
        <v>#REF!</v>
      </c>
    </row>
    <row r="42" spans="2:9" ht="13.5" thickBot="1" x14ac:dyDescent="0.25">
      <c r="B42" s="70" t="s">
        <v>13</v>
      </c>
      <c r="C42" s="71" t="e">
        <f>#REF!</f>
        <v>#REF!</v>
      </c>
      <c r="D42" s="71" t="e">
        <f>#REF!</f>
        <v>#REF!</v>
      </c>
      <c r="E42" s="71" t="e">
        <f>D42</f>
        <v>#REF!</v>
      </c>
      <c r="F42" s="71" t="e">
        <f t="shared" ref="F42:I42" si="8">E42</f>
        <v>#REF!</v>
      </c>
      <c r="G42" s="71" t="e">
        <f t="shared" si="8"/>
        <v>#REF!</v>
      </c>
      <c r="H42" s="71" t="e">
        <f t="shared" si="8"/>
        <v>#REF!</v>
      </c>
      <c r="I42" s="71" t="e">
        <f t="shared" si="8"/>
        <v>#REF!</v>
      </c>
    </row>
    <row r="43" spans="2:9" ht="13.5" thickBot="1" x14ac:dyDescent="0.25">
      <c r="B43" s="72" t="s">
        <v>46</v>
      </c>
      <c r="C43" s="73" t="e">
        <f t="shared" ref="C43:I43" si="9">SUM(C41:C42)</f>
        <v>#REF!</v>
      </c>
      <c r="D43" s="73" t="e">
        <f t="shared" si="9"/>
        <v>#REF!</v>
      </c>
      <c r="E43" s="73" t="e">
        <f t="shared" si="9"/>
        <v>#REF!</v>
      </c>
      <c r="F43" s="73" t="e">
        <f t="shared" si="9"/>
        <v>#REF!</v>
      </c>
      <c r="G43" s="73" t="e">
        <f t="shared" si="9"/>
        <v>#REF!</v>
      </c>
      <c r="H43" s="73" t="e">
        <f t="shared" si="9"/>
        <v>#REF!</v>
      </c>
      <c r="I43" s="92" t="e">
        <f t="shared" si="9"/>
        <v>#REF!</v>
      </c>
    </row>
    <row r="44" spans="2:9" ht="13.5" thickBot="1" x14ac:dyDescent="0.25">
      <c r="B44" s="74" t="s">
        <v>2</v>
      </c>
      <c r="C44" s="75"/>
      <c r="D44" s="75"/>
      <c r="E44" s="75"/>
      <c r="F44" s="76"/>
      <c r="G44" s="76"/>
      <c r="H44" s="76"/>
      <c r="I44" s="76"/>
    </row>
    <row r="45" spans="2:9" ht="39" thickBot="1" x14ac:dyDescent="0.25">
      <c r="B45" s="77" t="s">
        <v>47</v>
      </c>
      <c r="C45" s="81" t="e">
        <f t="shared" ref="C45:I45" si="10">(C41/(1-C42/C40))</f>
        <v>#REF!</v>
      </c>
      <c r="D45" s="81" t="e">
        <f t="shared" si="10"/>
        <v>#REF!</v>
      </c>
      <c r="E45" s="81" t="e">
        <f t="shared" si="10"/>
        <v>#REF!</v>
      </c>
      <c r="F45" s="82" t="e">
        <f t="shared" si="10"/>
        <v>#REF!</v>
      </c>
      <c r="G45" s="82" t="e">
        <f t="shared" si="10"/>
        <v>#REF!</v>
      </c>
      <c r="H45" s="82" t="e">
        <f t="shared" si="10"/>
        <v>#REF!</v>
      </c>
      <c r="I45" s="82" t="e">
        <f t="shared" si="10"/>
        <v>#REF!</v>
      </c>
    </row>
    <row r="46" spans="2:9" ht="39" thickBot="1" x14ac:dyDescent="0.25">
      <c r="B46" s="78" t="s">
        <v>48</v>
      </c>
      <c r="C46" s="79" t="e">
        <f t="shared" ref="C46:I46" si="11">+C45/C40</f>
        <v>#REF!</v>
      </c>
      <c r="D46" s="79" t="e">
        <f t="shared" si="11"/>
        <v>#REF!</v>
      </c>
      <c r="E46" s="79" t="e">
        <f t="shared" si="11"/>
        <v>#REF!</v>
      </c>
      <c r="F46" s="79" t="e">
        <f t="shared" si="11"/>
        <v>#REF!</v>
      </c>
      <c r="G46" s="79" t="e">
        <f t="shared" si="11"/>
        <v>#REF!</v>
      </c>
      <c r="H46" s="79" t="e">
        <f t="shared" si="11"/>
        <v>#REF!</v>
      </c>
      <c r="I46" s="79" t="e">
        <f t="shared" si="11"/>
        <v>#REF!</v>
      </c>
    </row>
  </sheetData>
  <mergeCells count="4">
    <mergeCell ref="B3:I3"/>
    <mergeCell ref="D5:G5"/>
    <mergeCell ref="H5:I5"/>
    <mergeCell ref="J5:J7"/>
  </mergeCells>
  <printOptions horizontalCentered="1" verticalCentered="1"/>
  <pageMargins left="0" right="0" top="0" bottom="0" header="0" footer="0"/>
  <pageSetup scale="99" orientation="landscape" horizontalDpi="300" verticalDpi="300" r:id="rId1"/>
  <headerFooter alignWithMargins="0"/>
  <rowBreaks count="1" manualBreakCount="1">
    <brk id="35" min="1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50"/>
  <sheetViews>
    <sheetView showGridLines="0" tabSelected="1" zoomScaleSheetLayoutView="100" workbookViewId="0">
      <selection activeCell="J21" sqref="J21"/>
    </sheetView>
  </sheetViews>
  <sheetFormatPr baseColWidth="10" defaultColWidth="12.5703125" defaultRowHeight="12.75" x14ac:dyDescent="0.2"/>
  <cols>
    <col min="1" max="1" width="12.5703125" style="120" customWidth="1"/>
    <col min="2" max="2" width="11.140625" style="120" customWidth="1"/>
    <col min="3" max="3" width="13.5703125" style="120" customWidth="1"/>
    <col min="4" max="4" width="15.42578125" style="120" bestFit="1" customWidth="1"/>
    <col min="5" max="5" width="14.28515625" style="120" customWidth="1"/>
    <col min="6" max="6" width="13.5703125" style="120" customWidth="1"/>
    <col min="7" max="7" width="15" style="120" customWidth="1"/>
    <col min="8" max="8" width="11.42578125" style="120" customWidth="1"/>
    <col min="9" max="9" width="14.85546875" style="120" customWidth="1"/>
    <col min="10" max="10" width="13.140625" style="120" customWidth="1"/>
    <col min="11" max="11" width="12.5703125" style="120"/>
    <col min="12" max="12" width="28.85546875" style="120" bestFit="1" customWidth="1"/>
    <col min="13" max="256" width="12.5703125" style="120"/>
    <col min="257" max="257" width="12.5703125" style="120" customWidth="1"/>
    <col min="258" max="258" width="28.85546875" style="120" customWidth="1"/>
    <col min="259" max="259" width="13.42578125" style="120" bestFit="1" customWidth="1"/>
    <col min="260" max="260" width="15" style="120" bestFit="1" customWidth="1"/>
    <col min="261" max="261" width="15.85546875" style="120" customWidth="1"/>
    <col min="262" max="262" width="18.140625" style="120" customWidth="1"/>
    <col min="263" max="263" width="17.85546875" style="120" customWidth="1"/>
    <col min="264" max="264" width="15" style="120" bestFit="1" customWidth="1"/>
    <col min="265" max="265" width="11.7109375" style="120" bestFit="1" customWidth="1"/>
    <col min="266" max="266" width="13.140625" style="120" customWidth="1"/>
    <col min="267" max="267" width="12.5703125" style="120"/>
    <col min="268" max="268" width="28.85546875" style="120" bestFit="1" customWidth="1"/>
    <col min="269" max="512" width="12.5703125" style="120"/>
    <col min="513" max="513" width="12.5703125" style="120" customWidth="1"/>
    <col min="514" max="514" width="28.85546875" style="120" customWidth="1"/>
    <col min="515" max="515" width="13.42578125" style="120" bestFit="1" customWidth="1"/>
    <col min="516" max="516" width="15" style="120" bestFit="1" customWidth="1"/>
    <col min="517" max="517" width="15.85546875" style="120" customWidth="1"/>
    <col min="518" max="518" width="18.140625" style="120" customWidth="1"/>
    <col min="519" max="519" width="17.85546875" style="120" customWidth="1"/>
    <col min="520" max="520" width="15" style="120" bestFit="1" customWidth="1"/>
    <col min="521" max="521" width="11.7109375" style="120" bestFit="1" customWidth="1"/>
    <col min="522" max="522" width="13.140625" style="120" customWidth="1"/>
    <col min="523" max="523" width="12.5703125" style="120"/>
    <col min="524" max="524" width="28.85546875" style="120" bestFit="1" customWidth="1"/>
    <col min="525" max="768" width="12.5703125" style="120"/>
    <col min="769" max="769" width="12.5703125" style="120" customWidth="1"/>
    <col min="770" max="770" width="28.85546875" style="120" customWidth="1"/>
    <col min="771" max="771" width="13.42578125" style="120" bestFit="1" customWidth="1"/>
    <col min="772" max="772" width="15" style="120" bestFit="1" customWidth="1"/>
    <col min="773" max="773" width="15.85546875" style="120" customWidth="1"/>
    <col min="774" max="774" width="18.140625" style="120" customWidth="1"/>
    <col min="775" max="775" width="17.85546875" style="120" customWidth="1"/>
    <col min="776" max="776" width="15" style="120" bestFit="1" customWidth="1"/>
    <col min="777" max="777" width="11.7109375" style="120" bestFit="1" customWidth="1"/>
    <col min="778" max="778" width="13.140625" style="120" customWidth="1"/>
    <col min="779" max="779" width="12.5703125" style="120"/>
    <col min="780" max="780" width="28.85546875" style="120" bestFit="1" customWidth="1"/>
    <col min="781" max="1024" width="12.5703125" style="120"/>
    <col min="1025" max="1025" width="12.5703125" style="120" customWidth="1"/>
    <col min="1026" max="1026" width="28.85546875" style="120" customWidth="1"/>
    <col min="1027" max="1027" width="13.42578125" style="120" bestFit="1" customWidth="1"/>
    <col min="1028" max="1028" width="15" style="120" bestFit="1" customWidth="1"/>
    <col min="1029" max="1029" width="15.85546875" style="120" customWidth="1"/>
    <col min="1030" max="1030" width="18.140625" style="120" customWidth="1"/>
    <col min="1031" max="1031" width="17.85546875" style="120" customWidth="1"/>
    <col min="1032" max="1032" width="15" style="120" bestFit="1" customWidth="1"/>
    <col min="1033" max="1033" width="11.7109375" style="120" bestFit="1" customWidth="1"/>
    <col min="1034" max="1034" width="13.140625" style="120" customWidth="1"/>
    <col min="1035" max="1035" width="12.5703125" style="120"/>
    <col min="1036" max="1036" width="28.85546875" style="120" bestFit="1" customWidth="1"/>
    <col min="1037" max="1280" width="12.5703125" style="120"/>
    <col min="1281" max="1281" width="12.5703125" style="120" customWidth="1"/>
    <col min="1282" max="1282" width="28.85546875" style="120" customWidth="1"/>
    <col min="1283" max="1283" width="13.42578125" style="120" bestFit="1" customWidth="1"/>
    <col min="1284" max="1284" width="15" style="120" bestFit="1" customWidth="1"/>
    <col min="1285" max="1285" width="15.85546875" style="120" customWidth="1"/>
    <col min="1286" max="1286" width="18.140625" style="120" customWidth="1"/>
    <col min="1287" max="1287" width="17.85546875" style="120" customWidth="1"/>
    <col min="1288" max="1288" width="15" style="120" bestFit="1" customWidth="1"/>
    <col min="1289" max="1289" width="11.7109375" style="120" bestFit="1" customWidth="1"/>
    <col min="1290" max="1290" width="13.140625" style="120" customWidth="1"/>
    <col min="1291" max="1291" width="12.5703125" style="120"/>
    <col min="1292" max="1292" width="28.85546875" style="120" bestFit="1" customWidth="1"/>
    <col min="1293" max="1536" width="12.5703125" style="120"/>
    <col min="1537" max="1537" width="12.5703125" style="120" customWidth="1"/>
    <col min="1538" max="1538" width="28.85546875" style="120" customWidth="1"/>
    <col min="1539" max="1539" width="13.42578125" style="120" bestFit="1" customWidth="1"/>
    <col min="1540" max="1540" width="15" style="120" bestFit="1" customWidth="1"/>
    <col min="1541" max="1541" width="15.85546875" style="120" customWidth="1"/>
    <col min="1542" max="1542" width="18.140625" style="120" customWidth="1"/>
    <col min="1543" max="1543" width="17.85546875" style="120" customWidth="1"/>
    <col min="1544" max="1544" width="15" style="120" bestFit="1" customWidth="1"/>
    <col min="1545" max="1545" width="11.7109375" style="120" bestFit="1" customWidth="1"/>
    <col min="1546" max="1546" width="13.140625" style="120" customWidth="1"/>
    <col min="1547" max="1547" width="12.5703125" style="120"/>
    <col min="1548" max="1548" width="28.85546875" style="120" bestFit="1" customWidth="1"/>
    <col min="1549" max="1792" width="12.5703125" style="120"/>
    <col min="1793" max="1793" width="12.5703125" style="120" customWidth="1"/>
    <col min="1794" max="1794" width="28.85546875" style="120" customWidth="1"/>
    <col min="1795" max="1795" width="13.42578125" style="120" bestFit="1" customWidth="1"/>
    <col min="1796" max="1796" width="15" style="120" bestFit="1" customWidth="1"/>
    <col min="1797" max="1797" width="15.85546875" style="120" customWidth="1"/>
    <col min="1798" max="1798" width="18.140625" style="120" customWidth="1"/>
    <col min="1799" max="1799" width="17.85546875" style="120" customWidth="1"/>
    <col min="1800" max="1800" width="15" style="120" bestFit="1" customWidth="1"/>
    <col min="1801" max="1801" width="11.7109375" style="120" bestFit="1" customWidth="1"/>
    <col min="1802" max="1802" width="13.140625" style="120" customWidth="1"/>
    <col min="1803" max="1803" width="12.5703125" style="120"/>
    <col min="1804" max="1804" width="28.85546875" style="120" bestFit="1" customWidth="1"/>
    <col min="1805" max="2048" width="12.5703125" style="120"/>
    <col min="2049" max="2049" width="12.5703125" style="120" customWidth="1"/>
    <col min="2050" max="2050" width="28.85546875" style="120" customWidth="1"/>
    <col min="2051" max="2051" width="13.42578125" style="120" bestFit="1" customWidth="1"/>
    <col min="2052" max="2052" width="15" style="120" bestFit="1" customWidth="1"/>
    <col min="2053" max="2053" width="15.85546875" style="120" customWidth="1"/>
    <col min="2054" max="2054" width="18.140625" style="120" customWidth="1"/>
    <col min="2055" max="2055" width="17.85546875" style="120" customWidth="1"/>
    <col min="2056" max="2056" width="15" style="120" bestFit="1" customWidth="1"/>
    <col min="2057" max="2057" width="11.7109375" style="120" bestFit="1" customWidth="1"/>
    <col min="2058" max="2058" width="13.140625" style="120" customWidth="1"/>
    <col min="2059" max="2059" width="12.5703125" style="120"/>
    <col min="2060" max="2060" width="28.85546875" style="120" bestFit="1" customWidth="1"/>
    <col min="2061" max="2304" width="12.5703125" style="120"/>
    <col min="2305" max="2305" width="12.5703125" style="120" customWidth="1"/>
    <col min="2306" max="2306" width="28.85546875" style="120" customWidth="1"/>
    <col min="2307" max="2307" width="13.42578125" style="120" bestFit="1" customWidth="1"/>
    <col min="2308" max="2308" width="15" style="120" bestFit="1" customWidth="1"/>
    <col min="2309" max="2309" width="15.85546875" style="120" customWidth="1"/>
    <col min="2310" max="2310" width="18.140625" style="120" customWidth="1"/>
    <col min="2311" max="2311" width="17.85546875" style="120" customWidth="1"/>
    <col min="2312" max="2312" width="15" style="120" bestFit="1" customWidth="1"/>
    <col min="2313" max="2313" width="11.7109375" style="120" bestFit="1" customWidth="1"/>
    <col min="2314" max="2314" width="13.140625" style="120" customWidth="1"/>
    <col min="2315" max="2315" width="12.5703125" style="120"/>
    <col min="2316" max="2316" width="28.85546875" style="120" bestFit="1" customWidth="1"/>
    <col min="2317" max="2560" width="12.5703125" style="120"/>
    <col min="2561" max="2561" width="12.5703125" style="120" customWidth="1"/>
    <col min="2562" max="2562" width="28.85546875" style="120" customWidth="1"/>
    <col min="2563" max="2563" width="13.42578125" style="120" bestFit="1" customWidth="1"/>
    <col min="2564" max="2564" width="15" style="120" bestFit="1" customWidth="1"/>
    <col min="2565" max="2565" width="15.85546875" style="120" customWidth="1"/>
    <col min="2566" max="2566" width="18.140625" style="120" customWidth="1"/>
    <col min="2567" max="2567" width="17.85546875" style="120" customWidth="1"/>
    <col min="2568" max="2568" width="15" style="120" bestFit="1" customWidth="1"/>
    <col min="2569" max="2569" width="11.7109375" style="120" bestFit="1" customWidth="1"/>
    <col min="2570" max="2570" width="13.140625" style="120" customWidth="1"/>
    <col min="2571" max="2571" width="12.5703125" style="120"/>
    <col min="2572" max="2572" width="28.85546875" style="120" bestFit="1" customWidth="1"/>
    <col min="2573" max="2816" width="12.5703125" style="120"/>
    <col min="2817" max="2817" width="12.5703125" style="120" customWidth="1"/>
    <col min="2818" max="2818" width="28.85546875" style="120" customWidth="1"/>
    <col min="2819" max="2819" width="13.42578125" style="120" bestFit="1" customWidth="1"/>
    <col min="2820" max="2820" width="15" style="120" bestFit="1" customWidth="1"/>
    <col min="2821" max="2821" width="15.85546875" style="120" customWidth="1"/>
    <col min="2822" max="2822" width="18.140625" style="120" customWidth="1"/>
    <col min="2823" max="2823" width="17.85546875" style="120" customWidth="1"/>
    <col min="2824" max="2824" width="15" style="120" bestFit="1" customWidth="1"/>
    <col min="2825" max="2825" width="11.7109375" style="120" bestFit="1" customWidth="1"/>
    <col min="2826" max="2826" width="13.140625" style="120" customWidth="1"/>
    <col min="2827" max="2827" width="12.5703125" style="120"/>
    <col min="2828" max="2828" width="28.85546875" style="120" bestFit="1" customWidth="1"/>
    <col min="2829" max="3072" width="12.5703125" style="120"/>
    <col min="3073" max="3073" width="12.5703125" style="120" customWidth="1"/>
    <col min="3074" max="3074" width="28.85546875" style="120" customWidth="1"/>
    <col min="3075" max="3075" width="13.42578125" style="120" bestFit="1" customWidth="1"/>
    <col min="3076" max="3076" width="15" style="120" bestFit="1" customWidth="1"/>
    <col min="3077" max="3077" width="15.85546875" style="120" customWidth="1"/>
    <col min="3078" max="3078" width="18.140625" style="120" customWidth="1"/>
    <col min="3079" max="3079" width="17.85546875" style="120" customWidth="1"/>
    <col min="3080" max="3080" width="15" style="120" bestFit="1" customWidth="1"/>
    <col min="3081" max="3081" width="11.7109375" style="120" bestFit="1" customWidth="1"/>
    <col min="3082" max="3082" width="13.140625" style="120" customWidth="1"/>
    <col min="3083" max="3083" width="12.5703125" style="120"/>
    <col min="3084" max="3084" width="28.85546875" style="120" bestFit="1" customWidth="1"/>
    <col min="3085" max="3328" width="12.5703125" style="120"/>
    <col min="3329" max="3329" width="12.5703125" style="120" customWidth="1"/>
    <col min="3330" max="3330" width="28.85546875" style="120" customWidth="1"/>
    <col min="3331" max="3331" width="13.42578125" style="120" bestFit="1" customWidth="1"/>
    <col min="3332" max="3332" width="15" style="120" bestFit="1" customWidth="1"/>
    <col min="3333" max="3333" width="15.85546875" style="120" customWidth="1"/>
    <col min="3334" max="3334" width="18.140625" style="120" customWidth="1"/>
    <col min="3335" max="3335" width="17.85546875" style="120" customWidth="1"/>
    <col min="3336" max="3336" width="15" style="120" bestFit="1" customWidth="1"/>
    <col min="3337" max="3337" width="11.7109375" style="120" bestFit="1" customWidth="1"/>
    <col min="3338" max="3338" width="13.140625" style="120" customWidth="1"/>
    <col min="3339" max="3339" width="12.5703125" style="120"/>
    <col min="3340" max="3340" width="28.85546875" style="120" bestFit="1" customWidth="1"/>
    <col min="3341" max="3584" width="12.5703125" style="120"/>
    <col min="3585" max="3585" width="12.5703125" style="120" customWidth="1"/>
    <col min="3586" max="3586" width="28.85546875" style="120" customWidth="1"/>
    <col min="3587" max="3587" width="13.42578125" style="120" bestFit="1" customWidth="1"/>
    <col min="3588" max="3588" width="15" style="120" bestFit="1" customWidth="1"/>
    <col min="3589" max="3589" width="15.85546875" style="120" customWidth="1"/>
    <col min="3590" max="3590" width="18.140625" style="120" customWidth="1"/>
    <col min="3591" max="3591" width="17.85546875" style="120" customWidth="1"/>
    <col min="3592" max="3592" width="15" style="120" bestFit="1" customWidth="1"/>
    <col min="3593" max="3593" width="11.7109375" style="120" bestFit="1" customWidth="1"/>
    <col min="3594" max="3594" width="13.140625" style="120" customWidth="1"/>
    <col min="3595" max="3595" width="12.5703125" style="120"/>
    <col min="3596" max="3596" width="28.85546875" style="120" bestFit="1" customWidth="1"/>
    <col min="3597" max="3840" width="12.5703125" style="120"/>
    <col min="3841" max="3841" width="12.5703125" style="120" customWidth="1"/>
    <col min="3842" max="3842" width="28.85546875" style="120" customWidth="1"/>
    <col min="3843" max="3843" width="13.42578125" style="120" bestFit="1" customWidth="1"/>
    <col min="3844" max="3844" width="15" style="120" bestFit="1" customWidth="1"/>
    <col min="3845" max="3845" width="15.85546875" style="120" customWidth="1"/>
    <col min="3846" max="3846" width="18.140625" style="120" customWidth="1"/>
    <col min="3847" max="3847" width="17.85546875" style="120" customWidth="1"/>
    <col min="3848" max="3848" width="15" style="120" bestFit="1" customWidth="1"/>
    <col min="3849" max="3849" width="11.7109375" style="120" bestFit="1" customWidth="1"/>
    <col min="3850" max="3850" width="13.140625" style="120" customWidth="1"/>
    <col min="3851" max="3851" width="12.5703125" style="120"/>
    <col min="3852" max="3852" width="28.85546875" style="120" bestFit="1" customWidth="1"/>
    <col min="3853" max="4096" width="12.5703125" style="120"/>
    <col min="4097" max="4097" width="12.5703125" style="120" customWidth="1"/>
    <col min="4098" max="4098" width="28.85546875" style="120" customWidth="1"/>
    <col min="4099" max="4099" width="13.42578125" style="120" bestFit="1" customWidth="1"/>
    <col min="4100" max="4100" width="15" style="120" bestFit="1" customWidth="1"/>
    <col min="4101" max="4101" width="15.85546875" style="120" customWidth="1"/>
    <col min="4102" max="4102" width="18.140625" style="120" customWidth="1"/>
    <col min="4103" max="4103" width="17.85546875" style="120" customWidth="1"/>
    <col min="4104" max="4104" width="15" style="120" bestFit="1" customWidth="1"/>
    <col min="4105" max="4105" width="11.7109375" style="120" bestFit="1" customWidth="1"/>
    <col min="4106" max="4106" width="13.140625" style="120" customWidth="1"/>
    <col min="4107" max="4107" width="12.5703125" style="120"/>
    <col min="4108" max="4108" width="28.85546875" style="120" bestFit="1" customWidth="1"/>
    <col min="4109" max="4352" width="12.5703125" style="120"/>
    <col min="4353" max="4353" width="12.5703125" style="120" customWidth="1"/>
    <col min="4354" max="4354" width="28.85546875" style="120" customWidth="1"/>
    <col min="4355" max="4355" width="13.42578125" style="120" bestFit="1" customWidth="1"/>
    <col min="4356" max="4356" width="15" style="120" bestFit="1" customWidth="1"/>
    <col min="4357" max="4357" width="15.85546875" style="120" customWidth="1"/>
    <col min="4358" max="4358" width="18.140625" style="120" customWidth="1"/>
    <col min="4359" max="4359" width="17.85546875" style="120" customWidth="1"/>
    <col min="4360" max="4360" width="15" style="120" bestFit="1" customWidth="1"/>
    <col min="4361" max="4361" width="11.7109375" style="120" bestFit="1" customWidth="1"/>
    <col min="4362" max="4362" width="13.140625" style="120" customWidth="1"/>
    <col min="4363" max="4363" width="12.5703125" style="120"/>
    <col min="4364" max="4364" width="28.85546875" style="120" bestFit="1" customWidth="1"/>
    <col min="4365" max="4608" width="12.5703125" style="120"/>
    <col min="4609" max="4609" width="12.5703125" style="120" customWidth="1"/>
    <col min="4610" max="4610" width="28.85546875" style="120" customWidth="1"/>
    <col min="4611" max="4611" width="13.42578125" style="120" bestFit="1" customWidth="1"/>
    <col min="4612" max="4612" width="15" style="120" bestFit="1" customWidth="1"/>
    <col min="4613" max="4613" width="15.85546875" style="120" customWidth="1"/>
    <col min="4614" max="4614" width="18.140625" style="120" customWidth="1"/>
    <col min="4615" max="4615" width="17.85546875" style="120" customWidth="1"/>
    <col min="4616" max="4616" width="15" style="120" bestFit="1" customWidth="1"/>
    <col min="4617" max="4617" width="11.7109375" style="120" bestFit="1" customWidth="1"/>
    <col min="4618" max="4618" width="13.140625" style="120" customWidth="1"/>
    <col min="4619" max="4619" width="12.5703125" style="120"/>
    <col min="4620" max="4620" width="28.85546875" style="120" bestFit="1" customWidth="1"/>
    <col min="4621" max="4864" width="12.5703125" style="120"/>
    <col min="4865" max="4865" width="12.5703125" style="120" customWidth="1"/>
    <col min="4866" max="4866" width="28.85546875" style="120" customWidth="1"/>
    <col min="4867" max="4867" width="13.42578125" style="120" bestFit="1" customWidth="1"/>
    <col min="4868" max="4868" width="15" style="120" bestFit="1" customWidth="1"/>
    <col min="4869" max="4869" width="15.85546875" style="120" customWidth="1"/>
    <col min="4870" max="4870" width="18.140625" style="120" customWidth="1"/>
    <col min="4871" max="4871" width="17.85546875" style="120" customWidth="1"/>
    <col min="4872" max="4872" width="15" style="120" bestFit="1" customWidth="1"/>
    <col min="4873" max="4873" width="11.7109375" style="120" bestFit="1" customWidth="1"/>
    <col min="4874" max="4874" width="13.140625" style="120" customWidth="1"/>
    <col min="4875" max="4875" width="12.5703125" style="120"/>
    <col min="4876" max="4876" width="28.85546875" style="120" bestFit="1" customWidth="1"/>
    <col min="4877" max="5120" width="12.5703125" style="120"/>
    <col min="5121" max="5121" width="12.5703125" style="120" customWidth="1"/>
    <col min="5122" max="5122" width="28.85546875" style="120" customWidth="1"/>
    <col min="5123" max="5123" width="13.42578125" style="120" bestFit="1" customWidth="1"/>
    <col min="5124" max="5124" width="15" style="120" bestFit="1" customWidth="1"/>
    <col min="5125" max="5125" width="15.85546875" style="120" customWidth="1"/>
    <col min="5126" max="5126" width="18.140625" style="120" customWidth="1"/>
    <col min="5127" max="5127" width="17.85546875" style="120" customWidth="1"/>
    <col min="5128" max="5128" width="15" style="120" bestFit="1" customWidth="1"/>
    <col min="5129" max="5129" width="11.7109375" style="120" bestFit="1" customWidth="1"/>
    <col min="5130" max="5130" width="13.140625" style="120" customWidth="1"/>
    <col min="5131" max="5131" width="12.5703125" style="120"/>
    <col min="5132" max="5132" width="28.85546875" style="120" bestFit="1" customWidth="1"/>
    <col min="5133" max="5376" width="12.5703125" style="120"/>
    <col min="5377" max="5377" width="12.5703125" style="120" customWidth="1"/>
    <col min="5378" max="5378" width="28.85546875" style="120" customWidth="1"/>
    <col min="5379" max="5379" width="13.42578125" style="120" bestFit="1" customWidth="1"/>
    <col min="5380" max="5380" width="15" style="120" bestFit="1" customWidth="1"/>
    <col min="5381" max="5381" width="15.85546875" style="120" customWidth="1"/>
    <col min="5382" max="5382" width="18.140625" style="120" customWidth="1"/>
    <col min="5383" max="5383" width="17.85546875" style="120" customWidth="1"/>
    <col min="5384" max="5384" width="15" style="120" bestFit="1" customWidth="1"/>
    <col min="5385" max="5385" width="11.7109375" style="120" bestFit="1" customWidth="1"/>
    <col min="5386" max="5386" width="13.140625" style="120" customWidth="1"/>
    <col min="5387" max="5387" width="12.5703125" style="120"/>
    <col min="5388" max="5388" width="28.85546875" style="120" bestFit="1" customWidth="1"/>
    <col min="5389" max="5632" width="12.5703125" style="120"/>
    <col min="5633" max="5633" width="12.5703125" style="120" customWidth="1"/>
    <col min="5634" max="5634" width="28.85546875" style="120" customWidth="1"/>
    <col min="5635" max="5635" width="13.42578125" style="120" bestFit="1" customWidth="1"/>
    <col min="5636" max="5636" width="15" style="120" bestFit="1" customWidth="1"/>
    <col min="5637" max="5637" width="15.85546875" style="120" customWidth="1"/>
    <col min="5638" max="5638" width="18.140625" style="120" customWidth="1"/>
    <col min="5639" max="5639" width="17.85546875" style="120" customWidth="1"/>
    <col min="5640" max="5640" width="15" style="120" bestFit="1" customWidth="1"/>
    <col min="5641" max="5641" width="11.7109375" style="120" bestFit="1" customWidth="1"/>
    <col min="5642" max="5642" width="13.140625" style="120" customWidth="1"/>
    <col min="5643" max="5643" width="12.5703125" style="120"/>
    <col min="5644" max="5644" width="28.85546875" style="120" bestFit="1" customWidth="1"/>
    <col min="5645" max="5888" width="12.5703125" style="120"/>
    <col min="5889" max="5889" width="12.5703125" style="120" customWidth="1"/>
    <col min="5890" max="5890" width="28.85546875" style="120" customWidth="1"/>
    <col min="5891" max="5891" width="13.42578125" style="120" bestFit="1" customWidth="1"/>
    <col min="5892" max="5892" width="15" style="120" bestFit="1" customWidth="1"/>
    <col min="5893" max="5893" width="15.85546875" style="120" customWidth="1"/>
    <col min="5894" max="5894" width="18.140625" style="120" customWidth="1"/>
    <col min="5895" max="5895" width="17.85546875" style="120" customWidth="1"/>
    <col min="5896" max="5896" width="15" style="120" bestFit="1" customWidth="1"/>
    <col min="5897" max="5897" width="11.7109375" style="120" bestFit="1" customWidth="1"/>
    <col min="5898" max="5898" width="13.140625" style="120" customWidth="1"/>
    <col min="5899" max="5899" width="12.5703125" style="120"/>
    <col min="5900" max="5900" width="28.85546875" style="120" bestFit="1" customWidth="1"/>
    <col min="5901" max="6144" width="12.5703125" style="120"/>
    <col min="6145" max="6145" width="12.5703125" style="120" customWidth="1"/>
    <col min="6146" max="6146" width="28.85546875" style="120" customWidth="1"/>
    <col min="6147" max="6147" width="13.42578125" style="120" bestFit="1" customWidth="1"/>
    <col min="6148" max="6148" width="15" style="120" bestFit="1" customWidth="1"/>
    <col min="6149" max="6149" width="15.85546875" style="120" customWidth="1"/>
    <col min="6150" max="6150" width="18.140625" style="120" customWidth="1"/>
    <col min="6151" max="6151" width="17.85546875" style="120" customWidth="1"/>
    <col min="6152" max="6152" width="15" style="120" bestFit="1" customWidth="1"/>
    <col min="6153" max="6153" width="11.7109375" style="120" bestFit="1" customWidth="1"/>
    <col min="6154" max="6154" width="13.140625" style="120" customWidth="1"/>
    <col min="6155" max="6155" width="12.5703125" style="120"/>
    <col min="6156" max="6156" width="28.85546875" style="120" bestFit="1" customWidth="1"/>
    <col min="6157" max="6400" width="12.5703125" style="120"/>
    <col min="6401" max="6401" width="12.5703125" style="120" customWidth="1"/>
    <col min="6402" max="6402" width="28.85546875" style="120" customWidth="1"/>
    <col min="6403" max="6403" width="13.42578125" style="120" bestFit="1" customWidth="1"/>
    <col min="6404" max="6404" width="15" style="120" bestFit="1" customWidth="1"/>
    <col min="6405" max="6405" width="15.85546875" style="120" customWidth="1"/>
    <col min="6406" max="6406" width="18.140625" style="120" customWidth="1"/>
    <col min="6407" max="6407" width="17.85546875" style="120" customWidth="1"/>
    <col min="6408" max="6408" width="15" style="120" bestFit="1" customWidth="1"/>
    <col min="6409" max="6409" width="11.7109375" style="120" bestFit="1" customWidth="1"/>
    <col min="6410" max="6410" width="13.140625" style="120" customWidth="1"/>
    <col min="6411" max="6411" width="12.5703125" style="120"/>
    <col min="6412" max="6412" width="28.85546875" style="120" bestFit="1" customWidth="1"/>
    <col min="6413" max="6656" width="12.5703125" style="120"/>
    <col min="6657" max="6657" width="12.5703125" style="120" customWidth="1"/>
    <col min="6658" max="6658" width="28.85546875" style="120" customWidth="1"/>
    <col min="6659" max="6659" width="13.42578125" style="120" bestFit="1" customWidth="1"/>
    <col min="6660" max="6660" width="15" style="120" bestFit="1" customWidth="1"/>
    <col min="6661" max="6661" width="15.85546875" style="120" customWidth="1"/>
    <col min="6662" max="6662" width="18.140625" style="120" customWidth="1"/>
    <col min="6663" max="6663" width="17.85546875" style="120" customWidth="1"/>
    <col min="6664" max="6664" width="15" style="120" bestFit="1" customWidth="1"/>
    <col min="6665" max="6665" width="11.7109375" style="120" bestFit="1" customWidth="1"/>
    <col min="6666" max="6666" width="13.140625" style="120" customWidth="1"/>
    <col min="6667" max="6667" width="12.5703125" style="120"/>
    <col min="6668" max="6668" width="28.85546875" style="120" bestFit="1" customWidth="1"/>
    <col min="6669" max="6912" width="12.5703125" style="120"/>
    <col min="6913" max="6913" width="12.5703125" style="120" customWidth="1"/>
    <col min="6914" max="6914" width="28.85546875" style="120" customWidth="1"/>
    <col min="6915" max="6915" width="13.42578125" style="120" bestFit="1" customWidth="1"/>
    <col min="6916" max="6916" width="15" style="120" bestFit="1" customWidth="1"/>
    <col min="6917" max="6917" width="15.85546875" style="120" customWidth="1"/>
    <col min="6918" max="6918" width="18.140625" style="120" customWidth="1"/>
    <col min="6919" max="6919" width="17.85546875" style="120" customWidth="1"/>
    <col min="6920" max="6920" width="15" style="120" bestFit="1" customWidth="1"/>
    <col min="6921" max="6921" width="11.7109375" style="120" bestFit="1" customWidth="1"/>
    <col min="6922" max="6922" width="13.140625" style="120" customWidth="1"/>
    <col min="6923" max="6923" width="12.5703125" style="120"/>
    <col min="6924" max="6924" width="28.85546875" style="120" bestFit="1" customWidth="1"/>
    <col min="6925" max="7168" width="12.5703125" style="120"/>
    <col min="7169" max="7169" width="12.5703125" style="120" customWidth="1"/>
    <col min="7170" max="7170" width="28.85546875" style="120" customWidth="1"/>
    <col min="7171" max="7171" width="13.42578125" style="120" bestFit="1" customWidth="1"/>
    <col min="7172" max="7172" width="15" style="120" bestFit="1" customWidth="1"/>
    <col min="7173" max="7173" width="15.85546875" style="120" customWidth="1"/>
    <col min="7174" max="7174" width="18.140625" style="120" customWidth="1"/>
    <col min="7175" max="7175" width="17.85546875" style="120" customWidth="1"/>
    <col min="7176" max="7176" width="15" style="120" bestFit="1" customWidth="1"/>
    <col min="7177" max="7177" width="11.7109375" style="120" bestFit="1" customWidth="1"/>
    <col min="7178" max="7178" width="13.140625" style="120" customWidth="1"/>
    <col min="7179" max="7179" width="12.5703125" style="120"/>
    <col min="7180" max="7180" width="28.85546875" style="120" bestFit="1" customWidth="1"/>
    <col min="7181" max="7424" width="12.5703125" style="120"/>
    <col min="7425" max="7425" width="12.5703125" style="120" customWidth="1"/>
    <col min="7426" max="7426" width="28.85546875" style="120" customWidth="1"/>
    <col min="7427" max="7427" width="13.42578125" style="120" bestFit="1" customWidth="1"/>
    <col min="7428" max="7428" width="15" style="120" bestFit="1" customWidth="1"/>
    <col min="7429" max="7429" width="15.85546875" style="120" customWidth="1"/>
    <col min="7430" max="7430" width="18.140625" style="120" customWidth="1"/>
    <col min="7431" max="7431" width="17.85546875" style="120" customWidth="1"/>
    <col min="7432" max="7432" width="15" style="120" bestFit="1" customWidth="1"/>
    <col min="7433" max="7433" width="11.7109375" style="120" bestFit="1" customWidth="1"/>
    <col min="7434" max="7434" width="13.140625" style="120" customWidth="1"/>
    <col min="7435" max="7435" width="12.5703125" style="120"/>
    <col min="7436" max="7436" width="28.85546875" style="120" bestFit="1" customWidth="1"/>
    <col min="7437" max="7680" width="12.5703125" style="120"/>
    <col min="7681" max="7681" width="12.5703125" style="120" customWidth="1"/>
    <col min="7682" max="7682" width="28.85546875" style="120" customWidth="1"/>
    <col min="7683" max="7683" width="13.42578125" style="120" bestFit="1" customWidth="1"/>
    <col min="7684" max="7684" width="15" style="120" bestFit="1" customWidth="1"/>
    <col min="7685" max="7685" width="15.85546875" style="120" customWidth="1"/>
    <col min="7686" max="7686" width="18.140625" style="120" customWidth="1"/>
    <col min="7687" max="7687" width="17.85546875" style="120" customWidth="1"/>
    <col min="7688" max="7688" width="15" style="120" bestFit="1" customWidth="1"/>
    <col min="7689" max="7689" width="11.7109375" style="120" bestFit="1" customWidth="1"/>
    <col min="7690" max="7690" width="13.140625" style="120" customWidth="1"/>
    <col min="7691" max="7691" width="12.5703125" style="120"/>
    <col min="7692" max="7692" width="28.85546875" style="120" bestFit="1" customWidth="1"/>
    <col min="7693" max="7936" width="12.5703125" style="120"/>
    <col min="7937" max="7937" width="12.5703125" style="120" customWidth="1"/>
    <col min="7938" max="7938" width="28.85546875" style="120" customWidth="1"/>
    <col min="7939" max="7939" width="13.42578125" style="120" bestFit="1" customWidth="1"/>
    <col min="7940" max="7940" width="15" style="120" bestFit="1" customWidth="1"/>
    <col min="7941" max="7941" width="15.85546875" style="120" customWidth="1"/>
    <col min="7942" max="7942" width="18.140625" style="120" customWidth="1"/>
    <col min="7943" max="7943" width="17.85546875" style="120" customWidth="1"/>
    <col min="7944" max="7944" width="15" style="120" bestFit="1" customWidth="1"/>
    <col min="7945" max="7945" width="11.7109375" style="120" bestFit="1" customWidth="1"/>
    <col min="7946" max="7946" width="13.140625" style="120" customWidth="1"/>
    <col min="7947" max="7947" width="12.5703125" style="120"/>
    <col min="7948" max="7948" width="28.85546875" style="120" bestFit="1" customWidth="1"/>
    <col min="7949" max="8192" width="12.5703125" style="120"/>
    <col min="8193" max="8193" width="12.5703125" style="120" customWidth="1"/>
    <col min="8194" max="8194" width="28.85546875" style="120" customWidth="1"/>
    <col min="8195" max="8195" width="13.42578125" style="120" bestFit="1" customWidth="1"/>
    <col min="8196" max="8196" width="15" style="120" bestFit="1" customWidth="1"/>
    <col min="8197" max="8197" width="15.85546875" style="120" customWidth="1"/>
    <col min="8198" max="8198" width="18.140625" style="120" customWidth="1"/>
    <col min="8199" max="8199" width="17.85546875" style="120" customWidth="1"/>
    <col min="8200" max="8200" width="15" style="120" bestFit="1" customWidth="1"/>
    <col min="8201" max="8201" width="11.7109375" style="120" bestFit="1" customWidth="1"/>
    <col min="8202" max="8202" width="13.140625" style="120" customWidth="1"/>
    <col min="8203" max="8203" width="12.5703125" style="120"/>
    <col min="8204" max="8204" width="28.85546875" style="120" bestFit="1" customWidth="1"/>
    <col min="8205" max="8448" width="12.5703125" style="120"/>
    <col min="8449" max="8449" width="12.5703125" style="120" customWidth="1"/>
    <col min="8450" max="8450" width="28.85546875" style="120" customWidth="1"/>
    <col min="8451" max="8451" width="13.42578125" style="120" bestFit="1" customWidth="1"/>
    <col min="8452" max="8452" width="15" style="120" bestFit="1" customWidth="1"/>
    <col min="8453" max="8453" width="15.85546875" style="120" customWidth="1"/>
    <col min="8454" max="8454" width="18.140625" style="120" customWidth="1"/>
    <col min="8455" max="8455" width="17.85546875" style="120" customWidth="1"/>
    <col min="8456" max="8456" width="15" style="120" bestFit="1" customWidth="1"/>
    <col min="8457" max="8457" width="11.7109375" style="120" bestFit="1" customWidth="1"/>
    <col min="8458" max="8458" width="13.140625" style="120" customWidth="1"/>
    <col min="8459" max="8459" width="12.5703125" style="120"/>
    <col min="8460" max="8460" width="28.85546875" style="120" bestFit="1" customWidth="1"/>
    <col min="8461" max="8704" width="12.5703125" style="120"/>
    <col min="8705" max="8705" width="12.5703125" style="120" customWidth="1"/>
    <col min="8706" max="8706" width="28.85546875" style="120" customWidth="1"/>
    <col min="8707" max="8707" width="13.42578125" style="120" bestFit="1" customWidth="1"/>
    <col min="8708" max="8708" width="15" style="120" bestFit="1" customWidth="1"/>
    <col min="8709" max="8709" width="15.85546875" style="120" customWidth="1"/>
    <col min="8710" max="8710" width="18.140625" style="120" customWidth="1"/>
    <col min="8711" max="8711" width="17.85546875" style="120" customWidth="1"/>
    <col min="8712" max="8712" width="15" style="120" bestFit="1" customWidth="1"/>
    <col min="8713" max="8713" width="11.7109375" style="120" bestFit="1" customWidth="1"/>
    <col min="8714" max="8714" width="13.140625" style="120" customWidth="1"/>
    <col min="8715" max="8715" width="12.5703125" style="120"/>
    <col min="8716" max="8716" width="28.85546875" style="120" bestFit="1" customWidth="1"/>
    <col min="8717" max="8960" width="12.5703125" style="120"/>
    <col min="8961" max="8961" width="12.5703125" style="120" customWidth="1"/>
    <col min="8962" max="8962" width="28.85546875" style="120" customWidth="1"/>
    <col min="8963" max="8963" width="13.42578125" style="120" bestFit="1" customWidth="1"/>
    <col min="8964" max="8964" width="15" style="120" bestFit="1" customWidth="1"/>
    <col min="8965" max="8965" width="15.85546875" style="120" customWidth="1"/>
    <col min="8966" max="8966" width="18.140625" style="120" customWidth="1"/>
    <col min="8967" max="8967" width="17.85546875" style="120" customWidth="1"/>
    <col min="8968" max="8968" width="15" style="120" bestFit="1" customWidth="1"/>
    <col min="8969" max="8969" width="11.7109375" style="120" bestFit="1" customWidth="1"/>
    <col min="8970" max="8970" width="13.140625" style="120" customWidth="1"/>
    <col min="8971" max="8971" width="12.5703125" style="120"/>
    <col min="8972" max="8972" width="28.85546875" style="120" bestFit="1" customWidth="1"/>
    <col min="8973" max="9216" width="12.5703125" style="120"/>
    <col min="9217" max="9217" width="12.5703125" style="120" customWidth="1"/>
    <col min="9218" max="9218" width="28.85546875" style="120" customWidth="1"/>
    <col min="9219" max="9219" width="13.42578125" style="120" bestFit="1" customWidth="1"/>
    <col min="9220" max="9220" width="15" style="120" bestFit="1" customWidth="1"/>
    <col min="9221" max="9221" width="15.85546875" style="120" customWidth="1"/>
    <col min="9222" max="9222" width="18.140625" style="120" customWidth="1"/>
    <col min="9223" max="9223" width="17.85546875" style="120" customWidth="1"/>
    <col min="9224" max="9224" width="15" style="120" bestFit="1" customWidth="1"/>
    <col min="9225" max="9225" width="11.7109375" style="120" bestFit="1" customWidth="1"/>
    <col min="9226" max="9226" width="13.140625" style="120" customWidth="1"/>
    <col min="9227" max="9227" width="12.5703125" style="120"/>
    <col min="9228" max="9228" width="28.85546875" style="120" bestFit="1" customWidth="1"/>
    <col min="9229" max="9472" width="12.5703125" style="120"/>
    <col min="9473" max="9473" width="12.5703125" style="120" customWidth="1"/>
    <col min="9474" max="9474" width="28.85546875" style="120" customWidth="1"/>
    <col min="9475" max="9475" width="13.42578125" style="120" bestFit="1" customWidth="1"/>
    <col min="9476" max="9476" width="15" style="120" bestFit="1" customWidth="1"/>
    <col min="9477" max="9477" width="15.85546875" style="120" customWidth="1"/>
    <col min="9478" max="9478" width="18.140625" style="120" customWidth="1"/>
    <col min="9479" max="9479" width="17.85546875" style="120" customWidth="1"/>
    <col min="9480" max="9480" width="15" style="120" bestFit="1" customWidth="1"/>
    <col min="9481" max="9481" width="11.7109375" style="120" bestFit="1" customWidth="1"/>
    <col min="9482" max="9482" width="13.140625" style="120" customWidth="1"/>
    <col min="9483" max="9483" width="12.5703125" style="120"/>
    <col min="9484" max="9484" width="28.85546875" style="120" bestFit="1" customWidth="1"/>
    <col min="9485" max="9728" width="12.5703125" style="120"/>
    <col min="9729" max="9729" width="12.5703125" style="120" customWidth="1"/>
    <col min="9730" max="9730" width="28.85546875" style="120" customWidth="1"/>
    <col min="9731" max="9731" width="13.42578125" style="120" bestFit="1" customWidth="1"/>
    <col min="9732" max="9732" width="15" style="120" bestFit="1" customWidth="1"/>
    <col min="9733" max="9733" width="15.85546875" style="120" customWidth="1"/>
    <col min="9734" max="9734" width="18.140625" style="120" customWidth="1"/>
    <col min="9735" max="9735" width="17.85546875" style="120" customWidth="1"/>
    <col min="9736" max="9736" width="15" style="120" bestFit="1" customWidth="1"/>
    <col min="9737" max="9737" width="11.7109375" style="120" bestFit="1" customWidth="1"/>
    <col min="9738" max="9738" width="13.140625" style="120" customWidth="1"/>
    <col min="9739" max="9739" width="12.5703125" style="120"/>
    <col min="9740" max="9740" width="28.85546875" style="120" bestFit="1" customWidth="1"/>
    <col min="9741" max="9984" width="12.5703125" style="120"/>
    <col min="9985" max="9985" width="12.5703125" style="120" customWidth="1"/>
    <col min="9986" max="9986" width="28.85546875" style="120" customWidth="1"/>
    <col min="9987" max="9987" width="13.42578125" style="120" bestFit="1" customWidth="1"/>
    <col min="9988" max="9988" width="15" style="120" bestFit="1" customWidth="1"/>
    <col min="9989" max="9989" width="15.85546875" style="120" customWidth="1"/>
    <col min="9990" max="9990" width="18.140625" style="120" customWidth="1"/>
    <col min="9991" max="9991" width="17.85546875" style="120" customWidth="1"/>
    <col min="9992" max="9992" width="15" style="120" bestFit="1" customWidth="1"/>
    <col min="9993" max="9993" width="11.7109375" style="120" bestFit="1" customWidth="1"/>
    <col min="9994" max="9994" width="13.140625" style="120" customWidth="1"/>
    <col min="9995" max="9995" width="12.5703125" style="120"/>
    <col min="9996" max="9996" width="28.85546875" style="120" bestFit="1" customWidth="1"/>
    <col min="9997" max="10240" width="12.5703125" style="120"/>
    <col min="10241" max="10241" width="12.5703125" style="120" customWidth="1"/>
    <col min="10242" max="10242" width="28.85546875" style="120" customWidth="1"/>
    <col min="10243" max="10243" width="13.42578125" style="120" bestFit="1" customWidth="1"/>
    <col min="10244" max="10244" width="15" style="120" bestFit="1" customWidth="1"/>
    <col min="10245" max="10245" width="15.85546875" style="120" customWidth="1"/>
    <col min="10246" max="10246" width="18.140625" style="120" customWidth="1"/>
    <col min="10247" max="10247" width="17.85546875" style="120" customWidth="1"/>
    <col min="10248" max="10248" width="15" style="120" bestFit="1" customWidth="1"/>
    <col min="10249" max="10249" width="11.7109375" style="120" bestFit="1" customWidth="1"/>
    <col min="10250" max="10250" width="13.140625" style="120" customWidth="1"/>
    <col min="10251" max="10251" width="12.5703125" style="120"/>
    <col min="10252" max="10252" width="28.85546875" style="120" bestFit="1" customWidth="1"/>
    <col min="10253" max="10496" width="12.5703125" style="120"/>
    <col min="10497" max="10497" width="12.5703125" style="120" customWidth="1"/>
    <col min="10498" max="10498" width="28.85546875" style="120" customWidth="1"/>
    <col min="10499" max="10499" width="13.42578125" style="120" bestFit="1" customWidth="1"/>
    <col min="10500" max="10500" width="15" style="120" bestFit="1" customWidth="1"/>
    <col min="10501" max="10501" width="15.85546875" style="120" customWidth="1"/>
    <col min="10502" max="10502" width="18.140625" style="120" customWidth="1"/>
    <col min="10503" max="10503" width="17.85546875" style="120" customWidth="1"/>
    <col min="10504" max="10504" width="15" style="120" bestFit="1" customWidth="1"/>
    <col min="10505" max="10505" width="11.7109375" style="120" bestFit="1" customWidth="1"/>
    <col min="10506" max="10506" width="13.140625" style="120" customWidth="1"/>
    <col min="10507" max="10507" width="12.5703125" style="120"/>
    <col min="10508" max="10508" width="28.85546875" style="120" bestFit="1" customWidth="1"/>
    <col min="10509" max="10752" width="12.5703125" style="120"/>
    <col min="10753" max="10753" width="12.5703125" style="120" customWidth="1"/>
    <col min="10754" max="10754" width="28.85546875" style="120" customWidth="1"/>
    <col min="10755" max="10755" width="13.42578125" style="120" bestFit="1" customWidth="1"/>
    <col min="10756" max="10756" width="15" style="120" bestFit="1" customWidth="1"/>
    <col min="10757" max="10757" width="15.85546875" style="120" customWidth="1"/>
    <col min="10758" max="10758" width="18.140625" style="120" customWidth="1"/>
    <col min="10759" max="10759" width="17.85546875" style="120" customWidth="1"/>
    <col min="10760" max="10760" width="15" style="120" bestFit="1" customWidth="1"/>
    <col min="10761" max="10761" width="11.7109375" style="120" bestFit="1" customWidth="1"/>
    <col min="10762" max="10762" width="13.140625" style="120" customWidth="1"/>
    <col min="10763" max="10763" width="12.5703125" style="120"/>
    <col min="10764" max="10764" width="28.85546875" style="120" bestFit="1" customWidth="1"/>
    <col min="10765" max="11008" width="12.5703125" style="120"/>
    <col min="11009" max="11009" width="12.5703125" style="120" customWidth="1"/>
    <col min="11010" max="11010" width="28.85546875" style="120" customWidth="1"/>
    <col min="11011" max="11011" width="13.42578125" style="120" bestFit="1" customWidth="1"/>
    <col min="11012" max="11012" width="15" style="120" bestFit="1" customWidth="1"/>
    <col min="11013" max="11013" width="15.85546875" style="120" customWidth="1"/>
    <col min="11014" max="11014" width="18.140625" style="120" customWidth="1"/>
    <col min="11015" max="11015" width="17.85546875" style="120" customWidth="1"/>
    <col min="11016" max="11016" width="15" style="120" bestFit="1" customWidth="1"/>
    <col min="11017" max="11017" width="11.7109375" style="120" bestFit="1" customWidth="1"/>
    <col min="11018" max="11018" width="13.140625" style="120" customWidth="1"/>
    <col min="11019" max="11019" width="12.5703125" style="120"/>
    <col min="11020" max="11020" width="28.85546875" style="120" bestFit="1" customWidth="1"/>
    <col min="11021" max="11264" width="12.5703125" style="120"/>
    <col min="11265" max="11265" width="12.5703125" style="120" customWidth="1"/>
    <col min="11266" max="11266" width="28.85546875" style="120" customWidth="1"/>
    <col min="11267" max="11267" width="13.42578125" style="120" bestFit="1" customWidth="1"/>
    <col min="11268" max="11268" width="15" style="120" bestFit="1" customWidth="1"/>
    <col min="11269" max="11269" width="15.85546875" style="120" customWidth="1"/>
    <col min="11270" max="11270" width="18.140625" style="120" customWidth="1"/>
    <col min="11271" max="11271" width="17.85546875" style="120" customWidth="1"/>
    <col min="11272" max="11272" width="15" style="120" bestFit="1" customWidth="1"/>
    <col min="11273" max="11273" width="11.7109375" style="120" bestFit="1" customWidth="1"/>
    <col min="11274" max="11274" width="13.140625" style="120" customWidth="1"/>
    <col min="11275" max="11275" width="12.5703125" style="120"/>
    <col min="11276" max="11276" width="28.85546875" style="120" bestFit="1" customWidth="1"/>
    <col min="11277" max="11520" width="12.5703125" style="120"/>
    <col min="11521" max="11521" width="12.5703125" style="120" customWidth="1"/>
    <col min="11522" max="11522" width="28.85546875" style="120" customWidth="1"/>
    <col min="11523" max="11523" width="13.42578125" style="120" bestFit="1" customWidth="1"/>
    <col min="11524" max="11524" width="15" style="120" bestFit="1" customWidth="1"/>
    <col min="11525" max="11525" width="15.85546875" style="120" customWidth="1"/>
    <col min="11526" max="11526" width="18.140625" style="120" customWidth="1"/>
    <col min="11527" max="11527" width="17.85546875" style="120" customWidth="1"/>
    <col min="11528" max="11528" width="15" style="120" bestFit="1" customWidth="1"/>
    <col min="11529" max="11529" width="11.7109375" style="120" bestFit="1" customWidth="1"/>
    <col min="11530" max="11530" width="13.140625" style="120" customWidth="1"/>
    <col min="11531" max="11531" width="12.5703125" style="120"/>
    <col min="11532" max="11532" width="28.85546875" style="120" bestFit="1" customWidth="1"/>
    <col min="11533" max="11776" width="12.5703125" style="120"/>
    <col min="11777" max="11777" width="12.5703125" style="120" customWidth="1"/>
    <col min="11778" max="11778" width="28.85546875" style="120" customWidth="1"/>
    <col min="11779" max="11779" width="13.42578125" style="120" bestFit="1" customWidth="1"/>
    <col min="11780" max="11780" width="15" style="120" bestFit="1" customWidth="1"/>
    <col min="11781" max="11781" width="15.85546875" style="120" customWidth="1"/>
    <col min="11782" max="11782" width="18.140625" style="120" customWidth="1"/>
    <col min="11783" max="11783" width="17.85546875" style="120" customWidth="1"/>
    <col min="11784" max="11784" width="15" style="120" bestFit="1" customWidth="1"/>
    <col min="11785" max="11785" width="11.7109375" style="120" bestFit="1" customWidth="1"/>
    <col min="11786" max="11786" width="13.140625" style="120" customWidth="1"/>
    <col min="11787" max="11787" width="12.5703125" style="120"/>
    <col min="11788" max="11788" width="28.85546875" style="120" bestFit="1" customWidth="1"/>
    <col min="11789" max="12032" width="12.5703125" style="120"/>
    <col min="12033" max="12033" width="12.5703125" style="120" customWidth="1"/>
    <col min="12034" max="12034" width="28.85546875" style="120" customWidth="1"/>
    <col min="12035" max="12035" width="13.42578125" style="120" bestFit="1" customWidth="1"/>
    <col min="12036" max="12036" width="15" style="120" bestFit="1" customWidth="1"/>
    <col min="12037" max="12037" width="15.85546875" style="120" customWidth="1"/>
    <col min="12038" max="12038" width="18.140625" style="120" customWidth="1"/>
    <col min="12039" max="12039" width="17.85546875" style="120" customWidth="1"/>
    <col min="12040" max="12040" width="15" style="120" bestFit="1" customWidth="1"/>
    <col min="12041" max="12041" width="11.7109375" style="120" bestFit="1" customWidth="1"/>
    <col min="12042" max="12042" width="13.140625" style="120" customWidth="1"/>
    <col min="12043" max="12043" width="12.5703125" style="120"/>
    <col min="12044" max="12044" width="28.85546875" style="120" bestFit="1" customWidth="1"/>
    <col min="12045" max="12288" width="12.5703125" style="120"/>
    <col min="12289" max="12289" width="12.5703125" style="120" customWidth="1"/>
    <col min="12290" max="12290" width="28.85546875" style="120" customWidth="1"/>
    <col min="12291" max="12291" width="13.42578125" style="120" bestFit="1" customWidth="1"/>
    <col min="12292" max="12292" width="15" style="120" bestFit="1" customWidth="1"/>
    <col min="12293" max="12293" width="15.85546875" style="120" customWidth="1"/>
    <col min="12294" max="12294" width="18.140625" style="120" customWidth="1"/>
    <col min="12295" max="12295" width="17.85546875" style="120" customWidth="1"/>
    <col min="12296" max="12296" width="15" style="120" bestFit="1" customWidth="1"/>
    <col min="12297" max="12297" width="11.7109375" style="120" bestFit="1" customWidth="1"/>
    <col min="12298" max="12298" width="13.140625" style="120" customWidth="1"/>
    <col min="12299" max="12299" width="12.5703125" style="120"/>
    <col min="12300" max="12300" width="28.85546875" style="120" bestFit="1" customWidth="1"/>
    <col min="12301" max="12544" width="12.5703125" style="120"/>
    <col min="12545" max="12545" width="12.5703125" style="120" customWidth="1"/>
    <col min="12546" max="12546" width="28.85546875" style="120" customWidth="1"/>
    <col min="12547" max="12547" width="13.42578125" style="120" bestFit="1" customWidth="1"/>
    <col min="12548" max="12548" width="15" style="120" bestFit="1" customWidth="1"/>
    <col min="12549" max="12549" width="15.85546875" style="120" customWidth="1"/>
    <col min="12550" max="12550" width="18.140625" style="120" customWidth="1"/>
    <col min="12551" max="12551" width="17.85546875" style="120" customWidth="1"/>
    <col min="12552" max="12552" width="15" style="120" bestFit="1" customWidth="1"/>
    <col min="12553" max="12553" width="11.7109375" style="120" bestFit="1" customWidth="1"/>
    <col min="12554" max="12554" width="13.140625" style="120" customWidth="1"/>
    <col min="12555" max="12555" width="12.5703125" style="120"/>
    <col min="12556" max="12556" width="28.85546875" style="120" bestFit="1" customWidth="1"/>
    <col min="12557" max="12800" width="12.5703125" style="120"/>
    <col min="12801" max="12801" width="12.5703125" style="120" customWidth="1"/>
    <col min="12802" max="12802" width="28.85546875" style="120" customWidth="1"/>
    <col min="12803" max="12803" width="13.42578125" style="120" bestFit="1" customWidth="1"/>
    <col min="12804" max="12804" width="15" style="120" bestFit="1" customWidth="1"/>
    <col min="12805" max="12805" width="15.85546875" style="120" customWidth="1"/>
    <col min="12806" max="12806" width="18.140625" style="120" customWidth="1"/>
    <col min="12807" max="12807" width="17.85546875" style="120" customWidth="1"/>
    <col min="12808" max="12808" width="15" style="120" bestFit="1" customWidth="1"/>
    <col min="12809" max="12809" width="11.7109375" style="120" bestFit="1" customWidth="1"/>
    <col min="12810" max="12810" width="13.140625" style="120" customWidth="1"/>
    <col min="12811" max="12811" width="12.5703125" style="120"/>
    <col min="12812" max="12812" width="28.85546875" style="120" bestFit="1" customWidth="1"/>
    <col min="12813" max="13056" width="12.5703125" style="120"/>
    <col min="13057" max="13057" width="12.5703125" style="120" customWidth="1"/>
    <col min="13058" max="13058" width="28.85546875" style="120" customWidth="1"/>
    <col min="13059" max="13059" width="13.42578125" style="120" bestFit="1" customWidth="1"/>
    <col min="13060" max="13060" width="15" style="120" bestFit="1" customWidth="1"/>
    <col min="13061" max="13061" width="15.85546875" style="120" customWidth="1"/>
    <col min="13062" max="13062" width="18.140625" style="120" customWidth="1"/>
    <col min="13063" max="13063" width="17.85546875" style="120" customWidth="1"/>
    <col min="13064" max="13064" width="15" style="120" bestFit="1" customWidth="1"/>
    <col min="13065" max="13065" width="11.7109375" style="120" bestFit="1" customWidth="1"/>
    <col min="13066" max="13066" width="13.140625" style="120" customWidth="1"/>
    <col min="13067" max="13067" width="12.5703125" style="120"/>
    <col min="13068" max="13068" width="28.85546875" style="120" bestFit="1" customWidth="1"/>
    <col min="13069" max="13312" width="12.5703125" style="120"/>
    <col min="13313" max="13313" width="12.5703125" style="120" customWidth="1"/>
    <col min="13314" max="13314" width="28.85546875" style="120" customWidth="1"/>
    <col min="13315" max="13315" width="13.42578125" style="120" bestFit="1" customWidth="1"/>
    <col min="13316" max="13316" width="15" style="120" bestFit="1" customWidth="1"/>
    <col min="13317" max="13317" width="15.85546875" style="120" customWidth="1"/>
    <col min="13318" max="13318" width="18.140625" style="120" customWidth="1"/>
    <col min="13319" max="13319" width="17.85546875" style="120" customWidth="1"/>
    <col min="13320" max="13320" width="15" style="120" bestFit="1" customWidth="1"/>
    <col min="13321" max="13321" width="11.7109375" style="120" bestFit="1" customWidth="1"/>
    <col min="13322" max="13322" width="13.140625" style="120" customWidth="1"/>
    <col min="13323" max="13323" width="12.5703125" style="120"/>
    <col min="13324" max="13324" width="28.85546875" style="120" bestFit="1" customWidth="1"/>
    <col min="13325" max="13568" width="12.5703125" style="120"/>
    <col min="13569" max="13569" width="12.5703125" style="120" customWidth="1"/>
    <col min="13570" max="13570" width="28.85546875" style="120" customWidth="1"/>
    <col min="13571" max="13571" width="13.42578125" style="120" bestFit="1" customWidth="1"/>
    <col min="13572" max="13572" width="15" style="120" bestFit="1" customWidth="1"/>
    <col min="13573" max="13573" width="15.85546875" style="120" customWidth="1"/>
    <col min="13574" max="13574" width="18.140625" style="120" customWidth="1"/>
    <col min="13575" max="13575" width="17.85546875" style="120" customWidth="1"/>
    <col min="13576" max="13576" width="15" style="120" bestFit="1" customWidth="1"/>
    <col min="13577" max="13577" width="11.7109375" style="120" bestFit="1" customWidth="1"/>
    <col min="13578" max="13578" width="13.140625" style="120" customWidth="1"/>
    <col min="13579" max="13579" width="12.5703125" style="120"/>
    <col min="13580" max="13580" width="28.85546875" style="120" bestFit="1" customWidth="1"/>
    <col min="13581" max="13824" width="12.5703125" style="120"/>
    <col min="13825" max="13825" width="12.5703125" style="120" customWidth="1"/>
    <col min="13826" max="13826" width="28.85546875" style="120" customWidth="1"/>
    <col min="13827" max="13827" width="13.42578125" style="120" bestFit="1" customWidth="1"/>
    <col min="13828" max="13828" width="15" style="120" bestFit="1" customWidth="1"/>
    <col min="13829" max="13829" width="15.85546875" style="120" customWidth="1"/>
    <col min="13830" max="13830" width="18.140625" style="120" customWidth="1"/>
    <col min="13831" max="13831" width="17.85546875" style="120" customWidth="1"/>
    <col min="13832" max="13832" width="15" style="120" bestFit="1" customWidth="1"/>
    <col min="13833" max="13833" width="11.7109375" style="120" bestFit="1" customWidth="1"/>
    <col min="13834" max="13834" width="13.140625" style="120" customWidth="1"/>
    <col min="13835" max="13835" width="12.5703125" style="120"/>
    <col min="13836" max="13836" width="28.85546875" style="120" bestFit="1" customWidth="1"/>
    <col min="13837" max="14080" width="12.5703125" style="120"/>
    <col min="14081" max="14081" width="12.5703125" style="120" customWidth="1"/>
    <col min="14082" max="14082" width="28.85546875" style="120" customWidth="1"/>
    <col min="14083" max="14083" width="13.42578125" style="120" bestFit="1" customWidth="1"/>
    <col min="14084" max="14084" width="15" style="120" bestFit="1" customWidth="1"/>
    <col min="14085" max="14085" width="15.85546875" style="120" customWidth="1"/>
    <col min="14086" max="14086" width="18.140625" style="120" customWidth="1"/>
    <col min="14087" max="14087" width="17.85546875" style="120" customWidth="1"/>
    <col min="14088" max="14088" width="15" style="120" bestFit="1" customWidth="1"/>
    <col min="14089" max="14089" width="11.7109375" style="120" bestFit="1" customWidth="1"/>
    <col min="14090" max="14090" width="13.140625" style="120" customWidth="1"/>
    <col min="14091" max="14091" width="12.5703125" style="120"/>
    <col min="14092" max="14092" width="28.85546875" style="120" bestFit="1" customWidth="1"/>
    <col min="14093" max="14336" width="12.5703125" style="120"/>
    <col min="14337" max="14337" width="12.5703125" style="120" customWidth="1"/>
    <col min="14338" max="14338" width="28.85546875" style="120" customWidth="1"/>
    <col min="14339" max="14339" width="13.42578125" style="120" bestFit="1" customWidth="1"/>
    <col min="14340" max="14340" width="15" style="120" bestFit="1" customWidth="1"/>
    <col min="14341" max="14341" width="15.85546875" style="120" customWidth="1"/>
    <col min="14342" max="14342" width="18.140625" style="120" customWidth="1"/>
    <col min="14343" max="14343" width="17.85546875" style="120" customWidth="1"/>
    <col min="14344" max="14344" width="15" style="120" bestFit="1" customWidth="1"/>
    <col min="14345" max="14345" width="11.7109375" style="120" bestFit="1" customWidth="1"/>
    <col min="14346" max="14346" width="13.140625" style="120" customWidth="1"/>
    <col min="14347" max="14347" width="12.5703125" style="120"/>
    <col min="14348" max="14348" width="28.85546875" style="120" bestFit="1" customWidth="1"/>
    <col min="14349" max="14592" width="12.5703125" style="120"/>
    <col min="14593" max="14593" width="12.5703125" style="120" customWidth="1"/>
    <col min="14594" max="14594" width="28.85546875" style="120" customWidth="1"/>
    <col min="14595" max="14595" width="13.42578125" style="120" bestFit="1" customWidth="1"/>
    <col min="14596" max="14596" width="15" style="120" bestFit="1" customWidth="1"/>
    <col min="14597" max="14597" width="15.85546875" style="120" customWidth="1"/>
    <col min="14598" max="14598" width="18.140625" style="120" customWidth="1"/>
    <col min="14599" max="14599" width="17.85546875" style="120" customWidth="1"/>
    <col min="14600" max="14600" width="15" style="120" bestFit="1" customWidth="1"/>
    <col min="14601" max="14601" width="11.7109375" style="120" bestFit="1" customWidth="1"/>
    <col min="14602" max="14602" width="13.140625" style="120" customWidth="1"/>
    <col min="14603" max="14603" width="12.5703125" style="120"/>
    <col min="14604" max="14604" width="28.85546875" style="120" bestFit="1" customWidth="1"/>
    <col min="14605" max="14848" width="12.5703125" style="120"/>
    <col min="14849" max="14849" width="12.5703125" style="120" customWidth="1"/>
    <col min="14850" max="14850" width="28.85546875" style="120" customWidth="1"/>
    <col min="14851" max="14851" width="13.42578125" style="120" bestFit="1" customWidth="1"/>
    <col min="14852" max="14852" width="15" style="120" bestFit="1" customWidth="1"/>
    <col min="14853" max="14853" width="15.85546875" style="120" customWidth="1"/>
    <col min="14854" max="14854" width="18.140625" style="120" customWidth="1"/>
    <col min="14855" max="14855" width="17.85546875" style="120" customWidth="1"/>
    <col min="14856" max="14856" width="15" style="120" bestFit="1" customWidth="1"/>
    <col min="14857" max="14857" width="11.7109375" style="120" bestFit="1" customWidth="1"/>
    <col min="14858" max="14858" width="13.140625" style="120" customWidth="1"/>
    <col min="14859" max="14859" width="12.5703125" style="120"/>
    <col min="14860" max="14860" width="28.85546875" style="120" bestFit="1" customWidth="1"/>
    <col min="14861" max="15104" width="12.5703125" style="120"/>
    <col min="15105" max="15105" width="12.5703125" style="120" customWidth="1"/>
    <col min="15106" max="15106" width="28.85546875" style="120" customWidth="1"/>
    <col min="15107" max="15107" width="13.42578125" style="120" bestFit="1" customWidth="1"/>
    <col min="15108" max="15108" width="15" style="120" bestFit="1" customWidth="1"/>
    <col min="15109" max="15109" width="15.85546875" style="120" customWidth="1"/>
    <col min="15110" max="15110" width="18.140625" style="120" customWidth="1"/>
    <col min="15111" max="15111" width="17.85546875" style="120" customWidth="1"/>
    <col min="15112" max="15112" width="15" style="120" bestFit="1" customWidth="1"/>
    <col min="15113" max="15113" width="11.7109375" style="120" bestFit="1" customWidth="1"/>
    <col min="15114" max="15114" width="13.140625" style="120" customWidth="1"/>
    <col min="15115" max="15115" width="12.5703125" style="120"/>
    <col min="15116" max="15116" width="28.85546875" style="120" bestFit="1" customWidth="1"/>
    <col min="15117" max="15360" width="12.5703125" style="120"/>
    <col min="15361" max="15361" width="12.5703125" style="120" customWidth="1"/>
    <col min="15362" max="15362" width="28.85546875" style="120" customWidth="1"/>
    <col min="15363" max="15363" width="13.42578125" style="120" bestFit="1" customWidth="1"/>
    <col min="15364" max="15364" width="15" style="120" bestFit="1" customWidth="1"/>
    <col min="15365" max="15365" width="15.85546875" style="120" customWidth="1"/>
    <col min="15366" max="15366" width="18.140625" style="120" customWidth="1"/>
    <col min="15367" max="15367" width="17.85546875" style="120" customWidth="1"/>
    <col min="15368" max="15368" width="15" style="120" bestFit="1" customWidth="1"/>
    <col min="15369" max="15369" width="11.7109375" style="120" bestFit="1" customWidth="1"/>
    <col min="15370" max="15370" width="13.140625" style="120" customWidth="1"/>
    <col min="15371" max="15371" width="12.5703125" style="120"/>
    <col min="15372" max="15372" width="28.85546875" style="120" bestFit="1" customWidth="1"/>
    <col min="15373" max="15616" width="12.5703125" style="120"/>
    <col min="15617" max="15617" width="12.5703125" style="120" customWidth="1"/>
    <col min="15618" max="15618" width="28.85546875" style="120" customWidth="1"/>
    <col min="15619" max="15619" width="13.42578125" style="120" bestFit="1" customWidth="1"/>
    <col min="15620" max="15620" width="15" style="120" bestFit="1" customWidth="1"/>
    <col min="15621" max="15621" width="15.85546875" style="120" customWidth="1"/>
    <col min="15622" max="15622" width="18.140625" style="120" customWidth="1"/>
    <col min="15623" max="15623" width="17.85546875" style="120" customWidth="1"/>
    <col min="15624" max="15624" width="15" style="120" bestFit="1" customWidth="1"/>
    <col min="15625" max="15625" width="11.7109375" style="120" bestFit="1" customWidth="1"/>
    <col min="15626" max="15626" width="13.140625" style="120" customWidth="1"/>
    <col min="15627" max="15627" width="12.5703125" style="120"/>
    <col min="15628" max="15628" width="28.85546875" style="120" bestFit="1" customWidth="1"/>
    <col min="15629" max="15872" width="12.5703125" style="120"/>
    <col min="15873" max="15873" width="12.5703125" style="120" customWidth="1"/>
    <col min="15874" max="15874" width="28.85546875" style="120" customWidth="1"/>
    <col min="15875" max="15875" width="13.42578125" style="120" bestFit="1" customWidth="1"/>
    <col min="15876" max="15876" width="15" style="120" bestFit="1" customWidth="1"/>
    <col min="15877" max="15877" width="15.85546875" style="120" customWidth="1"/>
    <col min="15878" max="15878" width="18.140625" style="120" customWidth="1"/>
    <col min="15879" max="15879" width="17.85546875" style="120" customWidth="1"/>
    <col min="15880" max="15880" width="15" style="120" bestFit="1" customWidth="1"/>
    <col min="15881" max="15881" width="11.7109375" style="120" bestFit="1" customWidth="1"/>
    <col min="15882" max="15882" width="13.140625" style="120" customWidth="1"/>
    <col min="15883" max="15883" width="12.5703125" style="120"/>
    <col min="15884" max="15884" width="28.85546875" style="120" bestFit="1" customWidth="1"/>
    <col min="15885" max="16128" width="12.5703125" style="120"/>
    <col min="16129" max="16129" width="12.5703125" style="120" customWidth="1"/>
    <col min="16130" max="16130" width="28.85546875" style="120" customWidth="1"/>
    <col min="16131" max="16131" width="13.42578125" style="120" bestFit="1" customWidth="1"/>
    <col min="16132" max="16132" width="15" style="120" bestFit="1" customWidth="1"/>
    <col min="16133" max="16133" width="15.85546875" style="120" customWidth="1"/>
    <col min="16134" max="16134" width="18.140625" style="120" customWidth="1"/>
    <col min="16135" max="16135" width="17.85546875" style="120" customWidth="1"/>
    <col min="16136" max="16136" width="15" style="120" bestFit="1" customWidth="1"/>
    <col min="16137" max="16137" width="11.7109375" style="120" bestFit="1" customWidth="1"/>
    <col min="16138" max="16138" width="13.140625" style="120" customWidth="1"/>
    <col min="16139" max="16139" width="12.5703125" style="120"/>
    <col min="16140" max="16140" width="28.85546875" style="120" bestFit="1" customWidth="1"/>
    <col min="16141" max="16384" width="12.5703125" style="120"/>
  </cols>
  <sheetData>
    <row r="1" spans="2:19" ht="13.5" thickBot="1" x14ac:dyDescent="0.25"/>
    <row r="2" spans="2:19" ht="18" customHeight="1" thickBot="1" x14ac:dyDescent="0.3">
      <c r="B2" s="1"/>
      <c r="C2" s="159"/>
      <c r="D2" s="208" t="s">
        <v>102</v>
      </c>
      <c r="E2" s="209"/>
      <c r="F2" s="209"/>
      <c r="G2" s="210"/>
    </row>
    <row r="3" spans="2:19" x14ac:dyDescent="0.2">
      <c r="B3" s="160"/>
      <c r="C3" s="161"/>
      <c r="D3" s="162"/>
      <c r="E3" s="160"/>
      <c r="F3" s="160"/>
      <c r="G3" s="160"/>
      <c r="H3" s="160"/>
      <c r="I3" s="163"/>
      <c r="J3" s="160"/>
      <c r="K3" s="160"/>
    </row>
    <row r="4" spans="2:19" ht="15" x14ac:dyDescent="0.2">
      <c r="B4" s="211" t="s">
        <v>12</v>
      </c>
      <c r="C4" s="212"/>
      <c r="D4" s="212"/>
      <c r="E4" s="212"/>
      <c r="F4" s="212"/>
      <c r="G4" s="212"/>
      <c r="H4" s="212"/>
      <c r="I4" s="212"/>
      <c r="J4" s="212"/>
      <c r="K4" s="160"/>
      <c r="L4" s="160"/>
    </row>
    <row r="5" spans="2:19" ht="25.5" customHeight="1" thickBot="1" x14ac:dyDescent="0.25">
      <c r="B5" s="4" t="s">
        <v>14</v>
      </c>
      <c r="C5" s="5"/>
      <c r="D5" s="5"/>
      <c r="E5" s="5"/>
      <c r="F5" s="5"/>
      <c r="G5" s="5"/>
      <c r="H5" s="5"/>
      <c r="I5" s="5"/>
      <c r="J5" s="3"/>
      <c r="K5" s="164"/>
    </row>
    <row r="6" spans="2:19" x14ac:dyDescent="0.2">
      <c r="B6" s="165"/>
      <c r="C6" s="166"/>
      <c r="D6" s="213" t="s">
        <v>15</v>
      </c>
      <c r="E6" s="214"/>
      <c r="F6" s="214"/>
      <c r="G6" s="215"/>
      <c r="H6" s="186" t="s">
        <v>16</v>
      </c>
      <c r="I6" s="187"/>
      <c r="J6" s="216" t="s">
        <v>49</v>
      </c>
      <c r="K6" s="164"/>
      <c r="L6" s="2"/>
      <c r="M6" s="2"/>
      <c r="N6" s="2"/>
      <c r="O6" s="2"/>
      <c r="P6" s="2"/>
      <c r="Q6" s="2"/>
      <c r="R6" s="2"/>
      <c r="S6" s="2"/>
    </row>
    <row r="7" spans="2:19" x14ac:dyDescent="0.2">
      <c r="B7" s="167" t="s">
        <v>17</v>
      </c>
      <c r="C7" s="168" t="s">
        <v>18</v>
      </c>
      <c r="D7" s="168" t="s">
        <v>19</v>
      </c>
      <c r="E7" s="169" t="s">
        <v>20</v>
      </c>
      <c r="F7" s="169" t="s">
        <v>21</v>
      </c>
      <c r="G7" s="169" t="s">
        <v>22</v>
      </c>
      <c r="H7" s="169" t="s">
        <v>23</v>
      </c>
      <c r="I7" s="169" t="s">
        <v>24</v>
      </c>
      <c r="J7" s="217"/>
      <c r="K7" s="164"/>
      <c r="L7" s="2"/>
      <c r="M7" s="2"/>
      <c r="N7" s="2"/>
      <c r="O7" s="2"/>
      <c r="P7" s="2"/>
      <c r="Q7" s="2"/>
      <c r="R7" s="2"/>
      <c r="S7" s="2"/>
    </row>
    <row r="8" spans="2:19" ht="13.5" thickBot="1" x14ac:dyDescent="0.25">
      <c r="B8" s="167" t="s">
        <v>25</v>
      </c>
      <c r="C8" s="167" t="s">
        <v>103</v>
      </c>
      <c r="D8" s="167" t="s">
        <v>26</v>
      </c>
      <c r="E8" s="170"/>
      <c r="F8" s="170"/>
      <c r="G8" s="170"/>
      <c r="H8" s="167" t="s">
        <v>27</v>
      </c>
      <c r="I8" s="167" t="s">
        <v>28</v>
      </c>
      <c r="J8" s="218"/>
      <c r="K8" s="164"/>
      <c r="L8" s="2"/>
      <c r="M8" s="2"/>
      <c r="N8" s="2"/>
      <c r="O8" s="2"/>
      <c r="P8" s="2"/>
      <c r="Q8" s="2"/>
      <c r="R8" s="2"/>
      <c r="S8" s="2"/>
    </row>
    <row r="9" spans="2:19" ht="13.5" thickBot="1" x14ac:dyDescent="0.25">
      <c r="B9" s="12">
        <v>0</v>
      </c>
      <c r="C9" s="13"/>
      <c r="D9" s="14"/>
      <c r="E9" s="15"/>
      <c r="F9" s="16"/>
      <c r="G9" s="16"/>
      <c r="H9" s="171"/>
      <c r="I9" s="172"/>
      <c r="J9" s="173">
        <f t="shared" ref="J9" si="0">C9-D9-E9-F9-G9+H9+I9</f>
        <v>0</v>
      </c>
      <c r="K9" s="164"/>
      <c r="L9" s="191"/>
      <c r="M9" s="192"/>
      <c r="N9" s="192"/>
      <c r="O9" s="192"/>
      <c r="P9" s="192"/>
      <c r="Q9" s="158"/>
      <c r="R9" s="2"/>
      <c r="S9" s="2"/>
    </row>
    <row r="10" spans="2:19" ht="13.5" thickBot="1" x14ac:dyDescent="0.25">
      <c r="B10" s="19">
        <v>1</v>
      </c>
      <c r="C10" s="194">
        <v>1285439.2</v>
      </c>
      <c r="D10" s="195">
        <v>1023691.710496894</v>
      </c>
      <c r="E10" s="174">
        <v>721521</v>
      </c>
      <c r="F10" s="174">
        <v>200000</v>
      </c>
      <c r="G10" s="174">
        <v>37996</v>
      </c>
      <c r="H10" s="21"/>
      <c r="I10" s="22"/>
      <c r="J10" s="173">
        <f>C10-D10-E10-F10-G10+H10+I10</f>
        <v>-697769.51049689401</v>
      </c>
      <c r="K10" s="164"/>
      <c r="L10" s="193"/>
      <c r="M10" s="193"/>
      <c r="N10" s="193"/>
      <c r="O10" s="193"/>
      <c r="P10" s="193"/>
      <c r="Q10" s="188"/>
      <c r="R10" s="2"/>
      <c r="S10" s="2"/>
    </row>
    <row r="11" spans="2:19" ht="13.5" thickBot="1" x14ac:dyDescent="0.25">
      <c r="B11" s="19">
        <v>2</v>
      </c>
      <c r="C11" s="194">
        <v>1374626.16</v>
      </c>
      <c r="D11" s="195">
        <v>1153550.4238117386</v>
      </c>
      <c r="E11" s="21"/>
      <c r="F11" s="21"/>
      <c r="G11" s="21"/>
      <c r="H11" s="21"/>
      <c r="I11" s="22"/>
      <c r="J11" s="173">
        <f>C11-D11-E11-F11-G11+H11+I11</f>
        <v>221075.7361882613</v>
      </c>
      <c r="K11" s="164"/>
      <c r="L11" s="2"/>
      <c r="M11" s="2"/>
      <c r="N11" s="2"/>
      <c r="O11" s="2"/>
      <c r="P11" s="2"/>
      <c r="Q11" s="2"/>
      <c r="R11" s="2"/>
      <c r="S11" s="2"/>
    </row>
    <row r="12" spans="2:19" ht="13.5" thickBot="1" x14ac:dyDescent="0.25">
      <c r="B12" s="19">
        <v>3</v>
      </c>
      <c r="C12" s="194">
        <v>1492982.4680000001</v>
      </c>
      <c r="D12" s="195">
        <v>1241012.2629875755</v>
      </c>
      <c r="E12" s="21"/>
      <c r="F12" s="21"/>
      <c r="G12" s="21"/>
      <c r="H12" s="21"/>
      <c r="I12" s="22"/>
      <c r="J12" s="173">
        <f>C12-D12-E12-F12-G12+H12+I12</f>
        <v>251970.20501242462</v>
      </c>
      <c r="K12" s="164"/>
      <c r="L12" s="2"/>
      <c r="M12" s="2"/>
      <c r="N12" s="2"/>
      <c r="O12" s="2"/>
      <c r="P12" s="2"/>
      <c r="Q12" s="2"/>
      <c r="R12" s="2"/>
      <c r="S12" s="2"/>
    </row>
    <row r="13" spans="2:19" ht="13.5" thickBot="1" x14ac:dyDescent="0.25">
      <c r="B13" s="19">
        <v>4</v>
      </c>
      <c r="C13" s="194">
        <v>1586851.5914</v>
      </c>
      <c r="D13" s="195">
        <v>1327206.411221148</v>
      </c>
      <c r="E13" s="21"/>
      <c r="F13" s="21"/>
      <c r="G13" s="21"/>
      <c r="H13" s="21"/>
      <c r="I13" s="22"/>
      <c r="J13" s="173">
        <f>C13-D13-E13-F13-G13+H13+I13</f>
        <v>259645.18017885205</v>
      </c>
      <c r="K13" s="164"/>
      <c r="L13" s="2"/>
      <c r="M13" s="2"/>
      <c r="N13" s="2"/>
      <c r="O13" s="2"/>
      <c r="P13" s="2"/>
      <c r="Q13" s="2"/>
      <c r="R13" s="2"/>
      <c r="S13" s="2"/>
    </row>
    <row r="14" spans="2:19" ht="13.5" thickBot="1" x14ac:dyDescent="0.25">
      <c r="B14" s="19">
        <v>5</v>
      </c>
      <c r="C14" s="196">
        <v>1691984.1709700001</v>
      </c>
      <c r="D14" s="197">
        <v>1425428.7635589391</v>
      </c>
      <c r="E14" s="21"/>
      <c r="F14" s="21"/>
      <c r="G14" s="21"/>
      <c r="H14" s="21">
        <v>200000</v>
      </c>
      <c r="I14" s="22">
        <f>G10</f>
        <v>37996</v>
      </c>
      <c r="J14" s="173">
        <f>C14-D14-E14-F14-G14+H14+I14</f>
        <v>504551.40741106099</v>
      </c>
      <c r="K14" s="164"/>
      <c r="L14" s="2"/>
      <c r="M14" s="2"/>
      <c r="N14" s="2"/>
      <c r="O14" s="2"/>
      <c r="P14" s="2"/>
      <c r="Q14" s="2"/>
      <c r="R14" s="2"/>
      <c r="S14" s="2"/>
    </row>
    <row r="15" spans="2:19" x14ac:dyDescent="0.2">
      <c r="B15" s="175"/>
      <c r="C15" s="29"/>
      <c r="D15" s="29"/>
      <c r="E15" s="176"/>
      <c r="F15" s="176"/>
      <c r="G15" s="176"/>
      <c r="H15" s="177"/>
      <c r="I15" s="178"/>
      <c r="J15" s="179"/>
      <c r="K15" s="164"/>
    </row>
    <row r="16" spans="2:19" x14ac:dyDescent="0.2">
      <c r="B16" s="28"/>
      <c r="C16" s="29"/>
      <c r="D16" s="29"/>
      <c r="E16" s="30"/>
      <c r="F16" s="30"/>
      <c r="G16" s="30"/>
      <c r="H16" s="31"/>
      <c r="I16" s="31"/>
      <c r="J16" s="3"/>
      <c r="K16" s="164"/>
    </row>
    <row r="17" spans="2:11" x14ac:dyDescent="0.2">
      <c r="B17" s="33" t="s">
        <v>104</v>
      </c>
      <c r="C17" s="34"/>
      <c r="D17" s="34"/>
      <c r="E17" s="34"/>
      <c r="F17" s="180"/>
      <c r="G17" s="180"/>
      <c r="H17" s="180"/>
      <c r="I17" s="180"/>
      <c r="J17" s="3"/>
      <c r="K17" s="164"/>
    </row>
    <row r="18" spans="2:11" x14ac:dyDescent="0.2">
      <c r="B18" s="181" t="s">
        <v>30</v>
      </c>
      <c r="C18" s="169" t="s">
        <v>31</v>
      </c>
      <c r="D18" s="169" t="s">
        <v>32</v>
      </c>
      <c r="E18" s="169" t="s">
        <v>33</v>
      </c>
      <c r="F18" s="169" t="s">
        <v>31</v>
      </c>
      <c r="G18" s="169" t="s">
        <v>32</v>
      </c>
      <c r="H18" s="169" t="s">
        <v>34</v>
      </c>
      <c r="I18" s="37"/>
      <c r="J18" s="3"/>
      <c r="K18" s="164"/>
    </row>
    <row r="19" spans="2:11" x14ac:dyDescent="0.2">
      <c r="B19" s="167" t="s">
        <v>35</v>
      </c>
      <c r="C19" s="168" t="s">
        <v>26</v>
      </c>
      <c r="D19" s="168" t="s">
        <v>26</v>
      </c>
      <c r="E19" s="168" t="s">
        <v>36</v>
      </c>
      <c r="F19" s="168" t="s">
        <v>37</v>
      </c>
      <c r="G19" s="168" t="s">
        <v>37</v>
      </c>
      <c r="H19" s="168" t="s">
        <v>38</v>
      </c>
      <c r="I19" s="40"/>
      <c r="J19" s="3"/>
      <c r="K19" s="164"/>
    </row>
    <row r="20" spans="2:11" ht="13.5" thickBot="1" x14ac:dyDescent="0.25">
      <c r="B20" s="167" t="s">
        <v>25</v>
      </c>
      <c r="C20" s="167" t="s">
        <v>39</v>
      </c>
      <c r="D20" s="167" t="s">
        <v>39</v>
      </c>
      <c r="E20" s="189">
        <v>0.1</v>
      </c>
      <c r="F20" s="167" t="s">
        <v>39</v>
      </c>
      <c r="G20" s="167" t="s">
        <v>39</v>
      </c>
      <c r="H20" s="167" t="s">
        <v>39</v>
      </c>
      <c r="I20" s="37"/>
      <c r="J20" s="3"/>
      <c r="K20" s="164"/>
    </row>
    <row r="21" spans="2:11" x14ac:dyDescent="0.2">
      <c r="B21" s="12">
        <v>0</v>
      </c>
      <c r="C21" s="14">
        <f t="shared" ref="C21" si="1">SUM(D9,E9,F9,G9)</f>
        <v>0</v>
      </c>
      <c r="D21" s="14">
        <f t="shared" ref="D21" si="2">C9+H9+I9</f>
        <v>0</v>
      </c>
      <c r="E21" s="89">
        <f>1/(1+E20)^B21</f>
        <v>1</v>
      </c>
      <c r="F21" s="87">
        <f t="shared" ref="F21:F26" si="3">+E21*C21</f>
        <v>0</v>
      </c>
      <c r="G21" s="87">
        <f t="shared" ref="G21:G26" si="4">+E21*D21</f>
        <v>0</v>
      </c>
      <c r="H21" s="88">
        <f t="shared" ref="H21:H26" si="5">+G21-F21</f>
        <v>0</v>
      </c>
      <c r="I21" s="180"/>
      <c r="J21" s="3"/>
      <c r="K21" s="164"/>
    </row>
    <row r="22" spans="2:11" ht="16.5" customHeight="1" x14ac:dyDescent="0.2">
      <c r="B22" s="19">
        <v>1</v>
      </c>
      <c r="C22" s="21">
        <f>SUM(D10,E10,F10,G10)</f>
        <v>1983208.7104968941</v>
      </c>
      <c r="D22" s="21">
        <f>C10+H10+I10</f>
        <v>1285439.2</v>
      </c>
      <c r="E22" s="89">
        <f>1/(1+E20)^B22</f>
        <v>0.90909090909090906</v>
      </c>
      <c r="F22" s="20">
        <f t="shared" si="3"/>
        <v>1802917.009542631</v>
      </c>
      <c r="G22" s="20">
        <f t="shared" si="4"/>
        <v>1168581.0909090908</v>
      </c>
      <c r="H22" s="90">
        <f t="shared" si="5"/>
        <v>-634335.91863354016</v>
      </c>
      <c r="I22" s="180"/>
      <c r="J22" s="3"/>
      <c r="K22" s="164"/>
    </row>
    <row r="23" spans="2:11" ht="15" customHeight="1" x14ac:dyDescent="0.2">
      <c r="B23" s="19">
        <v>2</v>
      </c>
      <c r="C23" s="21">
        <f>SUM(D11,E11,F11,G11)</f>
        <v>1153550.4238117386</v>
      </c>
      <c r="D23" s="21">
        <f>C11+H11+I11</f>
        <v>1374626.16</v>
      </c>
      <c r="E23" s="89">
        <f>1/(1+E20)^B23</f>
        <v>0.82644628099173545</v>
      </c>
      <c r="F23" s="20">
        <f t="shared" si="3"/>
        <v>953347.45769565168</v>
      </c>
      <c r="G23" s="20">
        <f t="shared" si="4"/>
        <v>1136054.6776859502</v>
      </c>
      <c r="H23" s="90">
        <f t="shared" si="5"/>
        <v>182707.2199902985</v>
      </c>
      <c r="I23" s="180"/>
      <c r="J23" s="3"/>
      <c r="K23" s="164"/>
    </row>
    <row r="24" spans="2:11" x14ac:dyDescent="0.2">
      <c r="B24" s="19">
        <v>3</v>
      </c>
      <c r="C24" s="21">
        <f>SUM(D12,E12,F12,G12)</f>
        <v>1241012.2629875755</v>
      </c>
      <c r="D24" s="21">
        <f>C12+H12+I12</f>
        <v>1492982.4680000001</v>
      </c>
      <c r="E24" s="89">
        <f>1/(1+E20)^B24</f>
        <v>0.75131480090157754</v>
      </c>
      <c r="F24" s="20">
        <f t="shared" si="3"/>
        <v>932390.88128292642</v>
      </c>
      <c r="G24" s="20">
        <f t="shared" si="4"/>
        <v>1121699.8256949659</v>
      </c>
      <c r="H24" s="90">
        <f t="shared" si="5"/>
        <v>189308.94441203948</v>
      </c>
      <c r="I24" s="180"/>
      <c r="J24" s="3"/>
      <c r="K24" s="164"/>
    </row>
    <row r="25" spans="2:11" x14ac:dyDescent="0.2">
      <c r="B25" s="19">
        <v>4</v>
      </c>
      <c r="C25" s="21">
        <f>SUM(D13,E13,F13,G13)</f>
        <v>1327206.411221148</v>
      </c>
      <c r="D25" s="21">
        <f>C13+H13+I13</f>
        <v>1586851.5914</v>
      </c>
      <c r="E25" s="89">
        <f>1/(1+E20)^B25</f>
        <v>0.68301345536507052</v>
      </c>
      <c r="F25" s="20">
        <f t="shared" si="3"/>
        <v>906499.83691083104</v>
      </c>
      <c r="G25" s="20">
        <f t="shared" si="4"/>
        <v>1083840.988593675</v>
      </c>
      <c r="H25" s="90">
        <f t="shared" si="5"/>
        <v>177341.15168284392</v>
      </c>
      <c r="I25" s="180"/>
      <c r="J25" s="3"/>
      <c r="K25" s="164"/>
    </row>
    <row r="26" spans="2:11" ht="13.5" thickBot="1" x14ac:dyDescent="0.25">
      <c r="B26" s="19">
        <v>5</v>
      </c>
      <c r="C26" s="21">
        <f>SUM(D14,E14,F14,G14)</f>
        <v>1425428.7635589391</v>
      </c>
      <c r="D26" s="21">
        <f>C14+H14+I14</f>
        <v>1929980.1709700001</v>
      </c>
      <c r="E26" s="89">
        <f>1/(1+E20)^B26</f>
        <v>0.62092132305915493</v>
      </c>
      <c r="F26" s="20">
        <f t="shared" si="3"/>
        <v>885079.11379559175</v>
      </c>
      <c r="G26" s="20">
        <f t="shared" si="4"/>
        <v>1198365.8412366265</v>
      </c>
      <c r="H26" s="90">
        <f t="shared" si="5"/>
        <v>313286.72744103475</v>
      </c>
      <c r="I26" s="180"/>
      <c r="J26" s="3"/>
      <c r="K26" s="164"/>
    </row>
    <row r="27" spans="2:11" ht="13.5" thickBot="1" x14ac:dyDescent="0.25">
      <c r="B27" s="42" t="s">
        <v>3</v>
      </c>
      <c r="C27" s="43">
        <f>SUM(C21:C25)</f>
        <v>5704977.8085173555</v>
      </c>
      <c r="D27" s="43">
        <f>SUM(D21:D26)</f>
        <v>7669879.5903700003</v>
      </c>
      <c r="E27" s="190"/>
      <c r="F27" s="80">
        <f>SUM(F21:F26)</f>
        <v>5480234.2992276317</v>
      </c>
      <c r="G27" s="80">
        <f>SUM(G21:G26)</f>
        <v>5708542.4241203088</v>
      </c>
      <c r="H27" s="80">
        <f>SUM(H21:H26)</f>
        <v>228308.12489267648</v>
      </c>
      <c r="I27" s="44"/>
      <c r="J27" s="83"/>
      <c r="K27" s="164"/>
    </row>
    <row r="28" spans="2:11" x14ac:dyDescent="0.2">
      <c r="B28" s="45"/>
      <c r="C28" s="182"/>
      <c r="D28" s="182"/>
      <c r="E28" s="182"/>
      <c r="F28" s="182"/>
      <c r="G28" s="182"/>
      <c r="H28" s="182"/>
      <c r="I28" s="183"/>
      <c r="J28" s="48"/>
      <c r="K28" s="164"/>
    </row>
    <row r="29" spans="2:11" ht="13.5" thickBot="1" x14ac:dyDescent="0.25">
      <c r="B29" s="180"/>
      <c r="C29" s="49" t="s">
        <v>40</v>
      </c>
      <c r="D29" s="49"/>
      <c r="E29" s="49"/>
      <c r="F29" s="49"/>
      <c r="G29" s="49"/>
      <c r="H29" s="49"/>
      <c r="I29" s="180"/>
      <c r="J29" s="3"/>
      <c r="K29" s="164"/>
    </row>
    <row r="30" spans="2:11" ht="13.5" thickTop="1" x14ac:dyDescent="0.2">
      <c r="B30" s="180"/>
      <c r="C30" s="180"/>
      <c r="D30" s="50" t="s">
        <v>41</v>
      </c>
      <c r="E30" s="51">
        <f>H27</f>
        <v>228308.12489267648</v>
      </c>
      <c r="F30" s="184" t="str">
        <f>IF(E30&gt;0,"Se acepta","Se rechaza")</f>
        <v>Se acepta</v>
      </c>
      <c r="G30" s="52"/>
      <c r="H30" s="52"/>
      <c r="I30" s="180"/>
      <c r="J30" s="3"/>
      <c r="K30" s="164"/>
    </row>
    <row r="31" spans="2:11" x14ac:dyDescent="0.2">
      <c r="B31" s="180"/>
      <c r="C31" s="180"/>
      <c r="D31" s="53" t="s">
        <v>42</v>
      </c>
      <c r="E31" s="54">
        <f>IRR((D21:D26)-(C21:C26))</f>
        <v>0.23580914323308688</v>
      </c>
      <c r="F31" s="184" t="str">
        <f>IF(E31&gt;E20,"Se acepta","Se rechaza")</f>
        <v>Se acepta</v>
      </c>
      <c r="G31" s="52"/>
      <c r="H31" s="52"/>
      <c r="I31" s="180"/>
      <c r="J31" s="3"/>
      <c r="K31" s="164"/>
    </row>
    <row r="32" spans="2:11" ht="13.5" thickBot="1" x14ac:dyDescent="0.25">
      <c r="B32" s="180"/>
      <c r="C32" s="180"/>
      <c r="D32" s="55" t="s">
        <v>43</v>
      </c>
      <c r="E32" s="56">
        <f>G27/F27</f>
        <v>1.0416602853868591</v>
      </c>
      <c r="F32" s="184" t="str">
        <f>IF(E32&gt;=1,"Se acepta","Se rechaza")</f>
        <v>Se acepta</v>
      </c>
      <c r="G32" s="52"/>
      <c r="H32" s="52"/>
      <c r="I32" s="5"/>
      <c r="J32" s="3"/>
      <c r="K32" s="164"/>
    </row>
    <row r="33" spans="2:11" ht="13.5" thickTop="1" x14ac:dyDescent="0.2">
      <c r="B33" s="164"/>
      <c r="C33" s="164"/>
      <c r="D33" s="164"/>
      <c r="E33" s="164"/>
      <c r="F33" s="164"/>
      <c r="G33" s="164"/>
      <c r="H33" s="164"/>
      <c r="I33" s="164"/>
      <c r="J33" s="164"/>
      <c r="K33" s="164"/>
    </row>
    <row r="34" spans="2:11" x14ac:dyDescent="0.2">
      <c r="B34" s="164"/>
      <c r="C34" s="164"/>
      <c r="D34" s="164"/>
      <c r="E34" s="164"/>
      <c r="F34" s="164"/>
      <c r="G34" s="164"/>
      <c r="H34" s="164"/>
      <c r="I34" s="185" t="s">
        <v>2</v>
      </c>
      <c r="J34" s="164"/>
      <c r="K34" s="164"/>
    </row>
    <row r="35" spans="2:11" x14ac:dyDescent="0.2">
      <c r="B35" s="164"/>
      <c r="C35" s="164"/>
      <c r="D35" s="164"/>
      <c r="E35" s="164"/>
      <c r="F35" s="164"/>
      <c r="G35" s="164"/>
      <c r="H35" s="164"/>
      <c r="I35" s="164"/>
      <c r="J35" s="164"/>
      <c r="K35" s="164"/>
    </row>
    <row r="36" spans="2:11" x14ac:dyDescent="0.2">
      <c r="B36" s="164"/>
      <c r="C36" s="164"/>
      <c r="D36" s="164"/>
      <c r="E36" s="164"/>
      <c r="F36" s="164"/>
      <c r="G36" s="164"/>
      <c r="H36" s="164"/>
      <c r="I36" s="164"/>
      <c r="J36" s="164"/>
      <c r="K36" s="164"/>
    </row>
    <row r="37" spans="2:11" x14ac:dyDescent="0.2">
      <c r="B37" s="164"/>
      <c r="C37" s="164"/>
      <c r="D37" s="164"/>
      <c r="E37" s="164"/>
      <c r="F37" s="164"/>
      <c r="G37" s="164"/>
      <c r="H37" s="164"/>
      <c r="I37" s="164"/>
      <c r="J37" s="164"/>
      <c r="K37" s="164"/>
    </row>
    <row r="38" spans="2:11" x14ac:dyDescent="0.2">
      <c r="B38" s="164"/>
      <c r="C38" s="164"/>
      <c r="D38" s="164"/>
      <c r="E38" s="164"/>
      <c r="F38" s="164"/>
      <c r="G38" s="164"/>
      <c r="H38" s="164"/>
      <c r="I38" s="164"/>
      <c r="J38" s="164"/>
      <c r="K38" s="164"/>
    </row>
    <row r="39" spans="2:11" x14ac:dyDescent="0.2">
      <c r="B39" s="164"/>
      <c r="C39" s="164"/>
      <c r="D39" s="164"/>
      <c r="E39" s="164"/>
      <c r="F39" s="164"/>
      <c r="G39" s="164"/>
      <c r="H39" s="164"/>
      <c r="I39" s="164"/>
      <c r="J39" s="164"/>
      <c r="K39" s="164"/>
    </row>
    <row r="40" spans="2:11" x14ac:dyDescent="0.2">
      <c r="B40" s="164"/>
      <c r="C40" s="164"/>
      <c r="D40" s="164"/>
      <c r="E40" s="164"/>
      <c r="F40" s="164"/>
      <c r="G40" s="164"/>
      <c r="H40" s="164"/>
      <c r="I40" s="164"/>
      <c r="J40" s="164"/>
      <c r="K40" s="164"/>
    </row>
    <row r="41" spans="2:11" x14ac:dyDescent="0.2">
      <c r="B41" s="164"/>
      <c r="C41" s="164"/>
      <c r="D41" s="164"/>
      <c r="E41" s="164"/>
      <c r="F41" s="164"/>
      <c r="G41" s="164"/>
      <c r="H41" s="164"/>
      <c r="I41" s="164"/>
      <c r="J41" s="164"/>
      <c r="K41" s="164"/>
    </row>
    <row r="42" spans="2:11" x14ac:dyDescent="0.2">
      <c r="B42" s="164"/>
      <c r="C42" s="164"/>
      <c r="D42" s="164"/>
      <c r="E42" s="164"/>
      <c r="F42" s="164"/>
      <c r="G42" s="164"/>
      <c r="H42" s="164"/>
      <c r="I42" s="164"/>
      <c r="J42" s="164"/>
      <c r="K42" s="164"/>
    </row>
    <row r="43" spans="2:11" x14ac:dyDescent="0.2">
      <c r="B43" s="164"/>
      <c r="C43" s="164"/>
      <c r="D43" s="164"/>
      <c r="E43" s="164"/>
      <c r="F43" s="164"/>
      <c r="G43" s="164"/>
      <c r="H43" s="164"/>
      <c r="I43" s="164"/>
      <c r="J43" s="164"/>
      <c r="K43" s="164"/>
    </row>
    <row r="44" spans="2:11" x14ac:dyDescent="0.2">
      <c r="B44" s="164"/>
      <c r="C44" s="164"/>
      <c r="D44" s="164"/>
      <c r="E44" s="164"/>
      <c r="F44" s="164"/>
      <c r="G44" s="164"/>
      <c r="H44" s="164"/>
      <c r="I44" s="164"/>
      <c r="J44" s="164"/>
      <c r="K44" s="164"/>
    </row>
    <row r="45" spans="2:11" x14ac:dyDescent="0.2">
      <c r="B45" s="164"/>
      <c r="C45" s="164"/>
      <c r="D45" s="164"/>
      <c r="E45" s="164"/>
      <c r="F45" s="164"/>
      <c r="G45" s="164"/>
      <c r="H45" s="164"/>
      <c r="I45" s="164"/>
      <c r="J45" s="164"/>
      <c r="K45" s="164"/>
    </row>
    <row r="46" spans="2:11" x14ac:dyDescent="0.2">
      <c r="B46" s="164"/>
      <c r="C46" s="164"/>
      <c r="D46" s="164"/>
      <c r="E46" s="164"/>
      <c r="F46" s="164"/>
      <c r="G46" s="164"/>
      <c r="H46" s="164"/>
      <c r="I46" s="164"/>
      <c r="J46" s="164"/>
      <c r="K46" s="164"/>
    </row>
    <row r="47" spans="2:11" x14ac:dyDescent="0.2">
      <c r="B47" s="164"/>
      <c r="C47" s="164"/>
      <c r="D47" s="164"/>
      <c r="E47" s="164"/>
      <c r="F47" s="164"/>
      <c r="G47" s="164"/>
      <c r="H47" s="164"/>
      <c r="I47" s="164"/>
      <c r="J47" s="164"/>
      <c r="K47" s="164"/>
    </row>
    <row r="48" spans="2:11" x14ac:dyDescent="0.2">
      <c r="B48" s="164"/>
      <c r="C48" s="164"/>
      <c r="D48" s="164"/>
      <c r="E48" s="164"/>
      <c r="F48" s="164"/>
      <c r="G48" s="164"/>
      <c r="H48" s="164"/>
      <c r="I48" s="164"/>
      <c r="J48" s="164"/>
      <c r="K48" s="164"/>
    </row>
    <row r="49" spans="2:11" x14ac:dyDescent="0.2">
      <c r="B49" s="164"/>
      <c r="C49" s="164"/>
      <c r="D49" s="164"/>
      <c r="E49" s="164"/>
      <c r="F49" s="164"/>
      <c r="G49" s="164"/>
      <c r="H49" s="164"/>
      <c r="I49" s="164"/>
      <c r="J49" s="164"/>
      <c r="K49" s="164"/>
    </row>
    <row r="50" spans="2:11" x14ac:dyDescent="0.2">
      <c r="B50" s="164"/>
      <c r="C50" s="164"/>
      <c r="D50" s="164"/>
      <c r="E50" s="164"/>
      <c r="F50" s="164"/>
      <c r="G50" s="164"/>
      <c r="H50" s="164"/>
      <c r="I50" s="164"/>
      <c r="J50" s="164"/>
      <c r="K50" s="164"/>
    </row>
  </sheetData>
  <mergeCells count="4">
    <mergeCell ref="D2:G2"/>
    <mergeCell ref="B4:J4"/>
    <mergeCell ref="D6:G6"/>
    <mergeCell ref="J6:J8"/>
  </mergeCells>
  <printOptions horizontalCentered="1" verticalCentered="1"/>
  <pageMargins left="0.25" right="0.25" top="0.75" bottom="0.75" header="0.3" footer="0.3"/>
  <pageSetup fitToWidth="0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5"/>
  <sheetViews>
    <sheetView view="pageBreakPreview" topLeftCell="A10" zoomScale="115" zoomScaleNormal="130" zoomScaleSheetLayoutView="115" workbookViewId="0">
      <selection activeCell="K30" sqref="K30"/>
    </sheetView>
  </sheetViews>
  <sheetFormatPr baseColWidth="10" defaultRowHeight="12.75" x14ac:dyDescent="0.2"/>
  <cols>
    <col min="1" max="1" width="3.28515625" style="121" customWidth="1"/>
    <col min="2" max="2" width="32" style="121" hidden="1" customWidth="1"/>
    <col min="3" max="3" width="7.28515625" style="121" hidden="1" customWidth="1"/>
    <col min="4" max="4" width="16.28515625" style="121" hidden="1" customWidth="1"/>
    <col min="5" max="5" width="13.7109375" style="121" hidden="1" customWidth="1"/>
    <col min="6" max="6" width="21.140625" style="121" hidden="1" customWidth="1"/>
    <col min="7" max="7" width="1.7109375" style="121" hidden="1" customWidth="1"/>
    <col min="8" max="8" width="16.28515625" style="121" hidden="1" customWidth="1"/>
    <col min="9" max="9" width="39.140625" style="121" customWidth="1"/>
    <col min="10" max="10" width="14.28515625" style="121" customWidth="1"/>
    <col min="11" max="11" width="15.5703125" style="121" customWidth="1"/>
    <col min="12" max="12" width="20.42578125" style="121" bestFit="1" customWidth="1"/>
    <col min="13" max="13" width="11.140625" style="121" bestFit="1" customWidth="1"/>
    <col min="14" max="14" width="11.5703125" style="121" bestFit="1" customWidth="1"/>
    <col min="15" max="15" width="14" style="121" bestFit="1" customWidth="1"/>
    <col min="16" max="16384" width="11.42578125" style="121"/>
  </cols>
  <sheetData>
    <row r="2" spans="2:12" ht="15.75" x14ac:dyDescent="0.25">
      <c r="C2" s="122" t="s">
        <v>82</v>
      </c>
    </row>
    <row r="3" spans="2:12" ht="13.5" thickBot="1" x14ac:dyDescent="0.25">
      <c r="I3" s="219" t="s">
        <v>83</v>
      </c>
      <c r="J3" s="219"/>
      <c r="K3" s="219"/>
      <c r="L3" s="219"/>
    </row>
    <row r="4" spans="2:12" ht="26.25" thickBot="1" x14ac:dyDescent="0.25">
      <c r="B4" s="220" t="s">
        <v>84</v>
      </c>
      <c r="C4" s="222" t="s">
        <v>85</v>
      </c>
      <c r="D4" s="223"/>
      <c r="E4" s="223"/>
      <c r="F4" s="223"/>
      <c r="G4" s="223"/>
      <c r="H4" s="223"/>
      <c r="I4" s="123" t="s">
        <v>0</v>
      </c>
      <c r="J4" s="124" t="s">
        <v>86</v>
      </c>
      <c r="K4" s="124" t="s">
        <v>87</v>
      </c>
      <c r="L4" s="124" t="s">
        <v>88</v>
      </c>
    </row>
    <row r="5" spans="2:12" ht="12.75" customHeight="1" x14ac:dyDescent="0.2">
      <c r="B5" s="221"/>
      <c r="C5" s="125">
        <v>0</v>
      </c>
      <c r="D5" s="125">
        <v>1</v>
      </c>
      <c r="E5" s="125">
        <v>2</v>
      </c>
      <c r="F5" s="125">
        <v>3</v>
      </c>
      <c r="G5" s="125">
        <v>4</v>
      </c>
      <c r="H5" s="126">
        <v>5</v>
      </c>
      <c r="I5" s="127" t="str">
        <f t="shared" ref="I5:I17" si="0">I23</f>
        <v>ACTIVO CIRCULANTE</v>
      </c>
      <c r="J5" s="128">
        <v>3631369</v>
      </c>
      <c r="K5" s="129">
        <f>'[1]ESTRUCTURA FINANCIERA'!F23</f>
        <v>4094617.9054054059</v>
      </c>
      <c r="L5" s="130">
        <f>SUM(J5:K5)</f>
        <v>7725986.9054054059</v>
      </c>
    </row>
    <row r="6" spans="2:12" x14ac:dyDescent="0.2">
      <c r="B6" s="131" t="s">
        <v>89</v>
      </c>
      <c r="C6" s="132">
        <f>'[2]ESTRUCTURA DE LAS  APORTACIONES'!F27</f>
        <v>18964.487999999998</v>
      </c>
      <c r="D6" s="132">
        <f>C6+('[2]INDICADORES FINAN'!J9)</f>
        <v>59510.536566666633</v>
      </c>
      <c r="E6" s="132">
        <f>D6+'[2]INDICADORES FINAN'!J10</f>
        <v>101174.45836533327</v>
      </c>
      <c r="F6" s="132">
        <f>E6+'[2]INDICADORES FINAN'!J11</f>
        <v>143989.78959295992</v>
      </c>
      <c r="G6" s="132">
        <f>F6+'[2]INDICADORES FINAN'!J12</f>
        <v>187991.07253241536</v>
      </c>
      <c r="H6" s="133">
        <f>G6+('[2]INDICADORES FINAN'!C13-'[2]INDICADORES FINAN'!D13)</f>
        <v>233213.8857350545</v>
      </c>
      <c r="I6" s="134" t="str">
        <f t="shared" si="0"/>
        <v>ACTIVO FIJO</v>
      </c>
      <c r="J6" s="84">
        <v>10742313</v>
      </c>
      <c r="K6" s="84">
        <f>'[1]ESTRUCTURA FINANCIERA'!F15</f>
        <v>8683363.290000001</v>
      </c>
      <c r="L6" s="135">
        <f>SUM(J6:K6)</f>
        <v>19425676.289999999</v>
      </c>
    </row>
    <row r="7" spans="2:12" ht="13.5" thickBot="1" x14ac:dyDescent="0.25">
      <c r="B7" s="131" t="s">
        <v>90</v>
      </c>
      <c r="C7" s="132">
        <f>'[2]ESTRUCTURA DE LAS  APORTACIONES'!F25</f>
        <v>182853</v>
      </c>
      <c r="D7" s="132">
        <f>C7-[2]DEPRECIACIONES!$F$12</f>
        <v>171907.64166666666</v>
      </c>
      <c r="E7" s="132">
        <f>D7-[2]DEPRECIACIONES!$F$12</f>
        <v>160962.28333333333</v>
      </c>
      <c r="F7" s="132">
        <f>E7-[2]DEPRECIACIONES!$F$12</f>
        <v>150016.92499999999</v>
      </c>
      <c r="G7" s="132">
        <f>F7-[2]DEPRECIACIONES!$F$12</f>
        <v>139071.56666666665</v>
      </c>
      <c r="H7" s="133">
        <f>G7-[2]DEPRECIACIONES!$F$12</f>
        <v>128126.20833333331</v>
      </c>
      <c r="I7" s="136" t="str">
        <f t="shared" si="0"/>
        <v>ACTIVO DIFERIDO</v>
      </c>
      <c r="J7" s="119">
        <v>0</v>
      </c>
      <c r="K7" s="137">
        <f>'[1]ESTRUCTURA FINANCIERA'!F20</f>
        <v>400000</v>
      </c>
      <c r="L7" s="138">
        <f>SUM(J7:K7)</f>
        <v>400000</v>
      </c>
    </row>
    <row r="8" spans="2:12" ht="13.5" thickBot="1" x14ac:dyDescent="0.25">
      <c r="B8" s="131" t="s">
        <v>91</v>
      </c>
      <c r="C8" s="132">
        <f>'[2]ESTRUCTURA DE LAS  APORTACIONES'!F32</f>
        <v>18000</v>
      </c>
      <c r="D8" s="132">
        <f>C8</f>
        <v>18000</v>
      </c>
      <c r="E8" s="132">
        <f>D8</f>
        <v>18000</v>
      </c>
      <c r="F8" s="132">
        <f>E8</f>
        <v>18000</v>
      </c>
      <c r="G8" s="132">
        <f>F8</f>
        <v>18000</v>
      </c>
      <c r="H8" s="133">
        <f>G8</f>
        <v>18000</v>
      </c>
      <c r="I8" s="139" t="str">
        <f t="shared" si="0"/>
        <v>ACTIVO TOTAL</v>
      </c>
      <c r="J8" s="140">
        <f>SUM(J5:J7)</f>
        <v>14373682</v>
      </c>
      <c r="K8" s="141">
        <f>SUM(K5:K7)</f>
        <v>13177981.195405407</v>
      </c>
      <c r="L8" s="141">
        <f>SUM(L5:L7)</f>
        <v>27551663.195405405</v>
      </c>
    </row>
    <row r="9" spans="2:12" x14ac:dyDescent="0.2">
      <c r="B9" s="142" t="s">
        <v>92</v>
      </c>
      <c r="C9" s="143">
        <f t="shared" ref="C9:H9" si="1">C6+C7+C8</f>
        <v>219817.48800000001</v>
      </c>
      <c r="D9" s="143">
        <f t="shared" si="1"/>
        <v>249418.17823333328</v>
      </c>
      <c r="E9" s="143">
        <f t="shared" si="1"/>
        <v>280136.74169866659</v>
      </c>
      <c r="F9" s="143">
        <f t="shared" si="1"/>
        <v>312006.71459295991</v>
      </c>
      <c r="G9" s="143">
        <f t="shared" si="1"/>
        <v>345062.63919908204</v>
      </c>
      <c r="H9" s="144">
        <f t="shared" si="1"/>
        <v>379340.09406838781</v>
      </c>
      <c r="I9" s="127" t="str">
        <f t="shared" si="0"/>
        <v xml:space="preserve">PASIVO A CORTO PLAZO </v>
      </c>
      <c r="J9" s="128">
        <v>1964013</v>
      </c>
      <c r="K9" s="128">
        <v>0</v>
      </c>
      <c r="L9" s="130">
        <f>SUM(J9:K9)</f>
        <v>1964013</v>
      </c>
    </row>
    <row r="10" spans="2:12" x14ac:dyDescent="0.2">
      <c r="B10" s="131" t="s">
        <v>93</v>
      </c>
      <c r="C10" s="132">
        <v>0</v>
      </c>
      <c r="D10" s="132">
        <v>0</v>
      </c>
      <c r="E10" s="132">
        <v>0</v>
      </c>
      <c r="F10" s="132">
        <v>0</v>
      </c>
      <c r="G10" s="132">
        <v>0</v>
      </c>
      <c r="H10" s="133">
        <v>0</v>
      </c>
      <c r="I10" s="134" t="str">
        <f t="shared" si="0"/>
        <v>PASIVO A LARGO PLAZO</v>
      </c>
      <c r="J10" s="84">
        <v>0</v>
      </c>
      <c r="K10" s="84">
        <f>'[1]ESTRUCTURA FINANCIERA'!H24</f>
        <v>4592226.3</v>
      </c>
      <c r="L10" s="135">
        <f>SUM(J10:K10)</f>
        <v>4592226.3</v>
      </c>
    </row>
    <row r="11" spans="2:12" ht="13.5" thickBot="1" x14ac:dyDescent="0.25">
      <c r="B11" s="131" t="s">
        <v>94</v>
      </c>
      <c r="C11" s="132">
        <v>0</v>
      </c>
      <c r="D11" s="132">
        <f>C11-D10</f>
        <v>0</v>
      </c>
      <c r="E11" s="132">
        <f>D11-E10</f>
        <v>0</v>
      </c>
      <c r="F11" s="132">
        <f>E11-F10</f>
        <v>0</v>
      </c>
      <c r="G11" s="132">
        <f>F11-G10</f>
        <v>0</v>
      </c>
      <c r="H11" s="133">
        <f>G11-H10</f>
        <v>0</v>
      </c>
      <c r="I11" s="136" t="str">
        <f t="shared" si="0"/>
        <v>PASIVO DIFERIDO</v>
      </c>
      <c r="J11" s="119">
        <v>0</v>
      </c>
      <c r="K11" s="119">
        <v>0</v>
      </c>
      <c r="L11" s="138">
        <f>SUM(J11:K11)</f>
        <v>0</v>
      </c>
    </row>
    <row r="12" spans="2:12" ht="13.5" thickBot="1" x14ac:dyDescent="0.25">
      <c r="B12" s="131" t="s">
        <v>95</v>
      </c>
      <c r="C12" s="132"/>
      <c r="D12" s="132"/>
      <c r="E12" s="132"/>
      <c r="F12" s="132"/>
      <c r="G12" s="132"/>
      <c r="H12" s="133"/>
      <c r="I12" s="139" t="str">
        <f t="shared" si="0"/>
        <v>PASIVO TOTAL</v>
      </c>
      <c r="J12" s="140">
        <f>SUM(J9:J11)</f>
        <v>1964013</v>
      </c>
      <c r="K12" s="140">
        <f>SUM(K9:K11)</f>
        <v>4592226.3</v>
      </c>
      <c r="L12" s="141">
        <f>SUM(L9:L11)</f>
        <v>6556239.2999999998</v>
      </c>
    </row>
    <row r="13" spans="2:12" x14ac:dyDescent="0.2">
      <c r="B13" s="142" t="s">
        <v>96</v>
      </c>
      <c r="C13" s="143">
        <f t="shared" ref="C13:H13" si="2">C10+C11+C12</f>
        <v>0</v>
      </c>
      <c r="D13" s="143">
        <f t="shared" si="2"/>
        <v>0</v>
      </c>
      <c r="E13" s="143">
        <f t="shared" si="2"/>
        <v>0</v>
      </c>
      <c r="F13" s="143">
        <f t="shared" si="2"/>
        <v>0</v>
      </c>
      <c r="G13" s="143">
        <f t="shared" si="2"/>
        <v>0</v>
      </c>
      <c r="H13" s="144">
        <f t="shared" si="2"/>
        <v>0</v>
      </c>
      <c r="I13" s="127" t="str">
        <f t="shared" si="0"/>
        <v>CAPITAL SOCIAL</v>
      </c>
      <c r="J13" s="128">
        <v>10134262</v>
      </c>
      <c r="K13" s="129">
        <f>'[1]ESTRUCTURA FINANCIERA'!G24</f>
        <v>8585754.8954054061</v>
      </c>
      <c r="L13" s="130">
        <f>SUM(J13:K13)</f>
        <v>18720016.895405404</v>
      </c>
    </row>
    <row r="14" spans="2:12" ht="16.5" customHeight="1" x14ac:dyDescent="0.2">
      <c r="B14" s="131" t="s">
        <v>97</v>
      </c>
      <c r="C14" s="132">
        <f>'[2]ESTRUCTURA DE LAS  APORTACIONES'!F30+'[2]ESTRUCTURA DE LAS  APORTACIONES'!F32</f>
        <v>219817.48800000001</v>
      </c>
      <c r="D14" s="132">
        <f>C14</f>
        <v>219817.48800000001</v>
      </c>
      <c r="E14" s="132">
        <f>D14</f>
        <v>219817.48800000001</v>
      </c>
      <c r="F14" s="132">
        <f>E14</f>
        <v>219817.48800000001</v>
      </c>
      <c r="G14" s="132">
        <f>F14</f>
        <v>219817.48800000001</v>
      </c>
      <c r="H14" s="133">
        <f>G14</f>
        <v>219817.48800000001</v>
      </c>
      <c r="I14" s="134" t="str">
        <f t="shared" si="0"/>
        <v>RESULTADO DE EJERCICIOS ANTERIORES</v>
      </c>
      <c r="J14" s="84">
        <v>0</v>
      </c>
      <c r="K14" s="145">
        <v>0</v>
      </c>
      <c r="L14" s="135">
        <f>SUM(J14:K14)</f>
        <v>0</v>
      </c>
    </row>
    <row r="15" spans="2:12" ht="13.5" thickBot="1" x14ac:dyDescent="0.25">
      <c r="B15" s="146" t="s">
        <v>98</v>
      </c>
      <c r="C15" s="132"/>
      <c r="D15" s="132">
        <f>C15+C16</f>
        <v>0</v>
      </c>
      <c r="E15" s="132">
        <f>D15+D16</f>
        <v>29600.690233333306</v>
      </c>
      <c r="F15" s="132">
        <f>E15+E16</f>
        <v>60319.253698666609</v>
      </c>
      <c r="G15" s="132">
        <f>F15+F16</f>
        <v>92189.226592959923</v>
      </c>
      <c r="H15" s="133">
        <f>G15+G16</f>
        <v>125245.15119908203</v>
      </c>
      <c r="I15" s="136" t="str">
        <f t="shared" si="0"/>
        <v>RESULTADO DEL EJERCICIO</v>
      </c>
      <c r="J15" s="119">
        <v>2275407</v>
      </c>
      <c r="K15" s="147">
        <v>0</v>
      </c>
      <c r="L15" s="138">
        <f>SUM(J15:K15)</f>
        <v>2275407</v>
      </c>
    </row>
    <row r="16" spans="2:12" ht="13.5" thickBot="1" x14ac:dyDescent="0.25">
      <c r="B16" s="131" t="s">
        <v>99</v>
      </c>
      <c r="C16" s="132"/>
      <c r="D16" s="132">
        <f>'[2]ESTADO DE RESUL'!C26</f>
        <v>29600.690233333306</v>
      </c>
      <c r="E16" s="132">
        <f>'[2]ESTADO DE RESUL'!D26</f>
        <v>30718.563465333307</v>
      </c>
      <c r="F16" s="132">
        <f>'[2]ESTADO DE RESUL'!E26</f>
        <v>31869.972894293311</v>
      </c>
      <c r="G16" s="132">
        <f>'[2]ESTADO DE RESUL'!F26</f>
        <v>33055.924606122106</v>
      </c>
      <c r="H16" s="133">
        <f>'[2]ESTADO DE RESUL'!G26</f>
        <v>34277.454869305773</v>
      </c>
      <c r="I16" s="139" t="str">
        <f t="shared" si="0"/>
        <v>CAPITAL CONTABLE</v>
      </c>
      <c r="J16" s="140">
        <f>SUM(J13:J15)</f>
        <v>12409669</v>
      </c>
      <c r="K16" s="140">
        <f>SUM(K13:K15)</f>
        <v>8585754.8954054061</v>
      </c>
      <c r="L16" s="141">
        <f>SUM(L13:L15)</f>
        <v>20995423.895405404</v>
      </c>
    </row>
    <row r="17" spans="2:15" ht="13.5" thickBot="1" x14ac:dyDescent="0.25">
      <c r="B17" s="142" t="s">
        <v>100</v>
      </c>
      <c r="C17" s="143">
        <f t="shared" ref="C17:H17" si="3">C14+C15+C16</f>
        <v>219817.48800000001</v>
      </c>
      <c r="D17" s="143">
        <f t="shared" si="3"/>
        <v>249418.17823333331</v>
      </c>
      <c r="E17" s="143">
        <f t="shared" si="3"/>
        <v>280136.74169866659</v>
      </c>
      <c r="F17" s="143">
        <f t="shared" si="3"/>
        <v>312006.71459295991</v>
      </c>
      <c r="G17" s="143">
        <f t="shared" si="3"/>
        <v>345062.63919908204</v>
      </c>
      <c r="H17" s="144">
        <f t="shared" si="3"/>
        <v>379340.09406838781</v>
      </c>
      <c r="I17" s="139" t="str">
        <f t="shared" si="0"/>
        <v>PASIVO TOTAL + CAPITAL CONTABLE</v>
      </c>
      <c r="J17" s="140">
        <f>J16+J12</f>
        <v>14373682</v>
      </c>
      <c r="K17" s="140">
        <f>K16+K12</f>
        <v>13177981.195405405</v>
      </c>
      <c r="L17" s="141">
        <f>L16+L12</f>
        <v>27551663.195405405</v>
      </c>
    </row>
    <row r="18" spans="2:15" x14ac:dyDescent="0.2">
      <c r="B18" s="142" t="s">
        <v>101</v>
      </c>
      <c r="C18" s="143">
        <f t="shared" ref="C18:H18" si="4">C13+C17</f>
        <v>219817.48800000001</v>
      </c>
      <c r="D18" s="143">
        <f t="shared" si="4"/>
        <v>249418.17823333331</v>
      </c>
      <c r="E18" s="143">
        <f t="shared" si="4"/>
        <v>280136.74169866659</v>
      </c>
      <c r="F18" s="143">
        <f t="shared" si="4"/>
        <v>312006.71459295991</v>
      </c>
      <c r="G18" s="143">
        <f t="shared" si="4"/>
        <v>345062.63919908204</v>
      </c>
      <c r="H18" s="143">
        <f t="shared" si="4"/>
        <v>379340.09406838781</v>
      </c>
    </row>
    <row r="20" spans="2:15" ht="16.5" thickBot="1" x14ac:dyDescent="0.3">
      <c r="J20" s="122" t="s">
        <v>82</v>
      </c>
    </row>
    <row r="21" spans="2:15" x14ac:dyDescent="0.2">
      <c r="I21" s="224" t="s">
        <v>84</v>
      </c>
      <c r="J21" s="226" t="s">
        <v>85</v>
      </c>
      <c r="K21" s="226"/>
      <c r="L21" s="226"/>
      <c r="M21" s="226"/>
      <c r="N21" s="226"/>
      <c r="O21" s="227"/>
    </row>
    <row r="22" spans="2:15" x14ac:dyDescent="0.2">
      <c r="I22" s="225"/>
      <c r="J22" s="148">
        <v>0</v>
      </c>
      <c r="K22" s="148">
        <v>1</v>
      </c>
      <c r="L22" s="148">
        <v>2</v>
      </c>
      <c r="M22" s="148">
        <v>3</v>
      </c>
      <c r="N22" s="148">
        <v>4</v>
      </c>
      <c r="O22" s="149">
        <v>5</v>
      </c>
    </row>
    <row r="23" spans="2:15" x14ac:dyDescent="0.2">
      <c r="I23" s="150" t="s">
        <v>89</v>
      </c>
      <c r="J23" s="132">
        <f>L5</f>
        <v>7725986.9054054059</v>
      </c>
      <c r="K23" s="132">
        <f>J23+'[1]Eval. Finan.'!D21</f>
        <v>10416074.564809009</v>
      </c>
      <c r="L23" s="132">
        <f>K23+'[1]Eval. Finan.'!E21</f>
        <v>13254562.230969369</v>
      </c>
      <c r="M23" s="132">
        <f>L23+'[1]Eval. Finan.'!F21</f>
        <v>16247352.979055407</v>
      </c>
      <c r="N23" s="132">
        <f>M23+'[1]Eval. Finan.'!G21</f>
        <v>19400563.253365263</v>
      </c>
      <c r="O23" s="132">
        <f>N23+'[1]Eval. Finan.'!H21-'[1]Eval. Finan.'!H20-'[1]Eval. Finan.'!H19</f>
        <v>22498437.747675117</v>
      </c>
    </row>
    <row r="24" spans="2:15" x14ac:dyDescent="0.2">
      <c r="I24" s="150" t="s">
        <v>90</v>
      </c>
      <c r="J24" s="132">
        <f>L6</f>
        <v>19425676.289999999</v>
      </c>
      <c r="K24" s="132">
        <f>J24-[1]DEPRECIACION!$H$11</f>
        <v>18960207.817166667</v>
      </c>
      <c r="L24" s="132">
        <f>K24-[1]DEPRECIACION!$H$11</f>
        <v>18494739.344333336</v>
      </c>
      <c r="M24" s="132">
        <f>L24-[1]DEPRECIACION!$H$11</f>
        <v>18029270.871500004</v>
      </c>
      <c r="N24" s="132">
        <f>M24-[1]DEPRECIACION!$H$11</f>
        <v>17563802.398666672</v>
      </c>
      <c r="O24" s="132">
        <f>N24-[1]DEPRECIACION!$H$11</f>
        <v>17098333.925833341</v>
      </c>
    </row>
    <row r="25" spans="2:15" x14ac:dyDescent="0.2">
      <c r="I25" s="150" t="s">
        <v>91</v>
      </c>
      <c r="J25" s="132">
        <f>L7</f>
        <v>400000</v>
      </c>
      <c r="K25" s="132">
        <f>J25-[1]DEPRECIACION!H15</f>
        <v>320000</v>
      </c>
      <c r="L25" s="132">
        <f>K25-[1]DEPRECIACION!$H$15</f>
        <v>240000</v>
      </c>
      <c r="M25" s="132">
        <f>L25-[1]DEPRECIACION!$H$15</f>
        <v>160000</v>
      </c>
      <c r="N25" s="132">
        <f>M25-[1]DEPRECIACION!$H$15</f>
        <v>80000</v>
      </c>
      <c r="O25" s="132">
        <f>N25-[1]DEPRECIACION!$H$15</f>
        <v>0</v>
      </c>
    </row>
    <row r="26" spans="2:15" x14ac:dyDescent="0.2">
      <c r="I26" s="151" t="s">
        <v>92</v>
      </c>
      <c r="J26" s="143">
        <f>J23+J24+J25</f>
        <v>27551663.195405405</v>
      </c>
      <c r="K26" s="143">
        <f>K23+K24+K25</f>
        <v>29696282.381975677</v>
      </c>
      <c r="L26" s="143">
        <f t="shared" ref="L26:O26" si="5">L23+L24+L25</f>
        <v>31989301.575302705</v>
      </c>
      <c r="M26" s="143">
        <f t="shared" si="5"/>
        <v>34436623.850555412</v>
      </c>
      <c r="N26" s="143">
        <f t="shared" si="5"/>
        <v>37044365.652031936</v>
      </c>
      <c r="O26" s="152">
        <f t="shared" si="5"/>
        <v>39596771.673508458</v>
      </c>
    </row>
    <row r="27" spans="2:15" x14ac:dyDescent="0.2">
      <c r="I27" s="150" t="s">
        <v>93</v>
      </c>
      <c r="J27" s="132">
        <f>L9</f>
        <v>1964013</v>
      </c>
      <c r="K27" s="132">
        <f t="array" ref="K27:O27">TRANSPOSE('[1]Reintegros a FIRCO'!E9:E13)</f>
        <v>900000</v>
      </c>
      <c r="L27" s="132">
        <v>900000</v>
      </c>
      <c r="M27" s="132">
        <v>900000</v>
      </c>
      <c r="N27" s="132">
        <v>900000</v>
      </c>
      <c r="O27" s="132">
        <v>992226.29999999981</v>
      </c>
    </row>
    <row r="28" spans="2:15" x14ac:dyDescent="0.2">
      <c r="I28" s="150" t="s">
        <v>94</v>
      </c>
      <c r="J28" s="132">
        <f>L10</f>
        <v>4592226.3</v>
      </c>
      <c r="K28" s="132">
        <f>SUM('[1]Reintegros a FIRCO'!F10:F13)</f>
        <v>3692226.3</v>
      </c>
      <c r="L28" s="132">
        <f>K28-L27</f>
        <v>2792226.3</v>
      </c>
      <c r="M28" s="132">
        <f>L28-M27</f>
        <v>1892226.2999999998</v>
      </c>
      <c r="N28" s="132">
        <f>M28-N27</f>
        <v>992226.29999999981</v>
      </c>
      <c r="O28" s="153">
        <f>N28-O27</f>
        <v>0</v>
      </c>
    </row>
    <row r="29" spans="2:15" x14ac:dyDescent="0.2">
      <c r="I29" s="150" t="s">
        <v>95</v>
      </c>
      <c r="J29" s="132">
        <f>L11</f>
        <v>0</v>
      </c>
      <c r="K29" s="132">
        <v>0</v>
      </c>
      <c r="L29" s="132"/>
      <c r="M29" s="132"/>
      <c r="N29" s="132"/>
      <c r="O29" s="153"/>
    </row>
    <row r="30" spans="2:15" x14ac:dyDescent="0.2">
      <c r="I30" s="151" t="s">
        <v>96</v>
      </c>
      <c r="J30" s="143">
        <f t="shared" ref="J30:O30" si="6">J27+J28+J29</f>
        <v>6556239.2999999998</v>
      </c>
      <c r="K30" s="143">
        <f>K27+K28+K29</f>
        <v>4592226.3</v>
      </c>
      <c r="L30" s="143">
        <f t="shared" si="6"/>
        <v>3692226.3</v>
      </c>
      <c r="M30" s="143">
        <f t="shared" si="6"/>
        <v>2792226.3</v>
      </c>
      <c r="N30" s="143">
        <f t="shared" si="6"/>
        <v>1892226.2999999998</v>
      </c>
      <c r="O30" s="152">
        <f t="shared" si="6"/>
        <v>992226.29999999981</v>
      </c>
    </row>
    <row r="31" spans="2:15" x14ac:dyDescent="0.2">
      <c r="I31" s="154" t="s">
        <v>97</v>
      </c>
      <c r="J31" s="132">
        <f>L13</f>
        <v>18720016.895405404</v>
      </c>
      <c r="K31" s="132">
        <f>J31+J27</f>
        <v>20684029.895405404</v>
      </c>
      <c r="L31" s="132">
        <f>K31+K27</f>
        <v>21584029.895405404</v>
      </c>
      <c r="M31" s="132">
        <f t="shared" ref="M31:O31" si="7">L31+L27</f>
        <v>22484029.895405404</v>
      </c>
      <c r="N31" s="132">
        <f t="shared" si="7"/>
        <v>23384029.895405404</v>
      </c>
      <c r="O31" s="132">
        <f t="shared" si="7"/>
        <v>24284029.895405404</v>
      </c>
    </row>
    <row r="32" spans="2:15" x14ac:dyDescent="0.2">
      <c r="I32" s="154" t="s">
        <v>98</v>
      </c>
      <c r="J32" s="132">
        <f>L14</f>
        <v>0</v>
      </c>
      <c r="K32" s="132">
        <f>J33+J32</f>
        <v>2275407</v>
      </c>
      <c r="L32" s="132">
        <f>K32+K33</f>
        <v>4420026.1865702691</v>
      </c>
      <c r="M32" s="132">
        <f>L32+L33</f>
        <v>6713045.3798972964</v>
      </c>
      <c r="N32" s="132">
        <f>M32+M33</f>
        <v>9160367.65515</v>
      </c>
      <c r="O32" s="153">
        <f>N32+N33</f>
        <v>11768109.456626521</v>
      </c>
    </row>
    <row r="33" spans="9:15" x14ac:dyDescent="0.2">
      <c r="I33" s="154" t="s">
        <v>99</v>
      </c>
      <c r="J33" s="132">
        <f>L15</f>
        <v>2275407</v>
      </c>
      <c r="K33" s="132">
        <f>'[1]ESTADO DE RESUL'!C27</f>
        <v>2144619.1865702691</v>
      </c>
      <c r="L33" s="132">
        <f>'[1]ESTADO DE RESUL'!D27</f>
        <v>2293019.1933270269</v>
      </c>
      <c r="M33" s="132">
        <f>'[1]ESTADO DE RESUL'!E27</f>
        <v>2447322.2752527036</v>
      </c>
      <c r="N33" s="132">
        <f>'[1]ESTADO DE RESUL'!F27</f>
        <v>2607741.8014765219</v>
      </c>
      <c r="O33" s="132">
        <f>'[1]ESTADO DE RESUL'!G27</f>
        <v>2552406.0214765216</v>
      </c>
    </row>
    <row r="34" spans="9:15" x14ac:dyDescent="0.2">
      <c r="I34" s="151" t="s">
        <v>100</v>
      </c>
      <c r="J34" s="143">
        <f>J31+J32+J33</f>
        <v>20995423.895405404</v>
      </c>
      <c r="K34" s="143">
        <f>K31+K32+K33</f>
        <v>25104056.081975672</v>
      </c>
      <c r="L34" s="143">
        <f>L31+L32+L33</f>
        <v>28297075.275302701</v>
      </c>
      <c r="M34" s="143">
        <f t="shared" ref="M34:O34" si="8">M31+M32+M33</f>
        <v>31644397.550555404</v>
      </c>
      <c r="N34" s="143">
        <f t="shared" si="8"/>
        <v>35152139.352031924</v>
      </c>
      <c r="O34" s="152">
        <f t="shared" si="8"/>
        <v>38604545.373508446</v>
      </c>
    </row>
    <row r="35" spans="9:15" ht="13.5" thickBot="1" x14ac:dyDescent="0.25">
      <c r="I35" s="155" t="s">
        <v>101</v>
      </c>
      <c r="J35" s="156">
        <f>J30+J34</f>
        <v>27551663.195405405</v>
      </c>
      <c r="K35" s="156">
        <f>K30+K34</f>
        <v>29696282.381975673</v>
      </c>
      <c r="L35" s="156">
        <f t="shared" ref="L35:O35" si="9">L30+L34</f>
        <v>31989301.575302701</v>
      </c>
      <c r="M35" s="156">
        <f t="shared" si="9"/>
        <v>34436623.850555405</v>
      </c>
      <c r="N35" s="156">
        <f t="shared" si="9"/>
        <v>37044365.652031921</v>
      </c>
      <c r="O35" s="157">
        <f t="shared" si="9"/>
        <v>39596771.673508443</v>
      </c>
    </row>
  </sheetData>
  <protectedRanges>
    <protectedRange password="CC84" sqref="C6" name="Rango1_1_2"/>
    <protectedRange password="CC84" sqref="J23:J25" name="Rango1_1_3"/>
  </protectedRanges>
  <mergeCells count="5">
    <mergeCell ref="I3:L3"/>
    <mergeCell ref="B4:B5"/>
    <mergeCell ref="C4:H4"/>
    <mergeCell ref="I21:I22"/>
    <mergeCell ref="J21:O21"/>
  </mergeCells>
  <printOptions horizontalCentered="1" verticalCentered="1"/>
  <pageMargins left="0" right="0" top="0" bottom="0" header="0" footer="0"/>
  <pageSetup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9"/>
  <sheetViews>
    <sheetView view="pageBreakPreview" zoomScaleNormal="85" zoomScaleSheetLayoutView="100" workbookViewId="0">
      <selection activeCell="F16" sqref="F16"/>
    </sheetView>
  </sheetViews>
  <sheetFormatPr baseColWidth="10" defaultRowHeight="12.75" x14ac:dyDescent="0.2"/>
  <cols>
    <col min="2" max="2" width="23.5703125" customWidth="1"/>
    <col min="3" max="4" width="11.5703125" bestFit="1" customWidth="1"/>
    <col min="6" max="6" width="13.42578125" bestFit="1" customWidth="1"/>
  </cols>
  <sheetData>
    <row r="2" spans="2:13" ht="13.5" thickBot="1" x14ac:dyDescent="0.25">
      <c r="B2" s="1" t="s">
        <v>63</v>
      </c>
    </row>
    <row r="3" spans="2:13" ht="13.5" customHeight="1" x14ac:dyDescent="0.2">
      <c r="B3" s="231" t="s">
        <v>50</v>
      </c>
      <c r="C3" s="233" t="s">
        <v>51</v>
      </c>
      <c r="D3" s="235" t="s">
        <v>52</v>
      </c>
      <c r="E3" s="233" t="s">
        <v>53</v>
      </c>
      <c r="F3" s="233" t="s">
        <v>54</v>
      </c>
      <c r="G3" s="235" t="s">
        <v>55</v>
      </c>
      <c r="H3" s="228" t="s">
        <v>56</v>
      </c>
      <c r="I3" s="229"/>
      <c r="J3" s="229"/>
      <c r="K3" s="229"/>
      <c r="L3" s="229"/>
      <c r="M3" s="230"/>
    </row>
    <row r="4" spans="2:13" x14ac:dyDescent="0.2">
      <c r="B4" s="232"/>
      <c r="C4" s="234"/>
      <c r="D4" s="236"/>
      <c r="E4" s="234"/>
      <c r="F4" s="234"/>
      <c r="G4" s="236"/>
      <c r="H4" s="108" t="s">
        <v>64</v>
      </c>
      <c r="I4" s="108" t="s">
        <v>65</v>
      </c>
      <c r="J4" s="108" t="s">
        <v>66</v>
      </c>
      <c r="K4" s="108" t="s">
        <v>67</v>
      </c>
      <c r="L4" s="108" t="s">
        <v>68</v>
      </c>
      <c r="M4" s="108" t="s">
        <v>69</v>
      </c>
    </row>
    <row r="5" spans="2:13" x14ac:dyDescent="0.2">
      <c r="B5" s="93" t="e">
        <f>LOWER(#REF!)</f>
        <v>#REF!</v>
      </c>
      <c r="C5" s="94">
        <v>40057</v>
      </c>
      <c r="D5" s="95">
        <v>1</v>
      </c>
      <c r="E5" s="96" t="s">
        <v>57</v>
      </c>
      <c r="F5" s="97" t="s">
        <v>78</v>
      </c>
      <c r="G5" s="98" t="s">
        <v>58</v>
      </c>
      <c r="H5" s="99"/>
      <c r="I5" s="100"/>
      <c r="J5" s="110"/>
      <c r="K5" s="100"/>
      <c r="L5" s="100"/>
      <c r="M5" s="114"/>
    </row>
    <row r="6" spans="2:13" ht="18.75" x14ac:dyDescent="0.2">
      <c r="B6" s="93" t="s">
        <v>70</v>
      </c>
      <c r="C6" s="94">
        <v>40057</v>
      </c>
      <c r="D6" s="95">
        <v>45</v>
      </c>
      <c r="E6" s="96" t="s">
        <v>57</v>
      </c>
      <c r="F6" s="97" t="e">
        <f>#REF!</f>
        <v>#REF!</v>
      </c>
      <c r="G6" s="98" t="s">
        <v>60</v>
      </c>
      <c r="H6" s="99"/>
      <c r="I6" s="99"/>
      <c r="J6" s="110"/>
      <c r="K6" s="100"/>
      <c r="L6" s="100"/>
      <c r="M6" s="114"/>
    </row>
    <row r="7" spans="2:13" ht="27.75" customHeight="1" x14ac:dyDescent="0.2">
      <c r="B7" s="93" t="s">
        <v>71</v>
      </c>
      <c r="C7" s="94">
        <v>40057</v>
      </c>
      <c r="D7" s="95">
        <v>45</v>
      </c>
      <c r="E7" s="96" t="s">
        <v>57</v>
      </c>
      <c r="F7" s="97" t="e">
        <f>#REF!</f>
        <v>#REF!</v>
      </c>
      <c r="G7" s="98" t="s">
        <v>60</v>
      </c>
      <c r="H7" s="99"/>
      <c r="I7" s="99"/>
      <c r="J7" s="110"/>
      <c r="K7" s="100"/>
      <c r="L7" s="100"/>
      <c r="M7" s="114"/>
    </row>
    <row r="8" spans="2:13" ht="18.75" x14ac:dyDescent="0.2">
      <c r="B8" s="93" t="s">
        <v>72</v>
      </c>
      <c r="C8" s="94">
        <v>40071</v>
      </c>
      <c r="D8" s="95">
        <v>15</v>
      </c>
      <c r="E8" s="96" t="s">
        <v>57</v>
      </c>
      <c r="F8" s="97" t="e">
        <f>SUM(#REF!)</f>
        <v>#REF!</v>
      </c>
      <c r="G8" s="98" t="s">
        <v>60</v>
      </c>
      <c r="H8" s="99"/>
      <c r="I8" s="100"/>
      <c r="J8" s="110"/>
      <c r="K8" s="100"/>
      <c r="L8" s="100"/>
      <c r="M8" s="114"/>
    </row>
    <row r="9" spans="2:13" ht="18.75" x14ac:dyDescent="0.2">
      <c r="B9" s="93" t="s">
        <v>73</v>
      </c>
      <c r="C9" s="94">
        <v>40081</v>
      </c>
      <c r="D9" s="95">
        <v>15</v>
      </c>
      <c r="E9" s="96" t="s">
        <v>57</v>
      </c>
      <c r="F9" s="97" t="e">
        <f>#REF!</f>
        <v>#REF!</v>
      </c>
      <c r="G9" s="98" t="s">
        <v>60</v>
      </c>
      <c r="H9" s="100"/>
      <c r="I9" s="99"/>
      <c r="J9" s="111"/>
      <c r="K9" s="109"/>
      <c r="L9" s="109"/>
      <c r="M9" s="115"/>
    </row>
    <row r="10" spans="2:13" ht="18.75" x14ac:dyDescent="0.2">
      <c r="B10" s="93" t="s">
        <v>74</v>
      </c>
      <c r="C10" s="94">
        <v>40087</v>
      </c>
      <c r="D10" s="95">
        <v>40</v>
      </c>
      <c r="E10" s="96" t="s">
        <v>57</v>
      </c>
      <c r="F10" s="97" t="e">
        <f>#REF!</f>
        <v>#REF!</v>
      </c>
      <c r="G10" s="98" t="s">
        <v>60</v>
      </c>
      <c r="H10" s="101"/>
      <c r="I10" s="99"/>
      <c r="J10" s="112"/>
      <c r="K10" s="109"/>
      <c r="L10" s="109"/>
      <c r="M10" s="115"/>
    </row>
    <row r="11" spans="2:13" ht="18.75" x14ac:dyDescent="0.2">
      <c r="B11" s="93" t="s">
        <v>75</v>
      </c>
      <c r="C11" s="94">
        <v>40101</v>
      </c>
      <c r="D11" s="95">
        <v>15</v>
      </c>
      <c r="E11" s="96" t="s">
        <v>57</v>
      </c>
      <c r="F11" s="97" t="e">
        <f>SUM(#REF!)</f>
        <v>#REF!</v>
      </c>
      <c r="G11" s="102" t="s">
        <v>60</v>
      </c>
      <c r="H11" s="101"/>
      <c r="I11" s="99"/>
      <c r="J11" s="111"/>
      <c r="K11" s="109"/>
      <c r="L11" s="109"/>
      <c r="M11" s="115"/>
    </row>
    <row r="12" spans="2:13" ht="18.75" x14ac:dyDescent="0.2">
      <c r="B12" s="93" t="s">
        <v>76</v>
      </c>
      <c r="C12" s="94">
        <v>40118</v>
      </c>
      <c r="D12" s="95">
        <v>7</v>
      </c>
      <c r="E12" s="96" t="s">
        <v>57</v>
      </c>
      <c r="F12" s="97" t="e">
        <f>#REF!</f>
        <v>#REF!</v>
      </c>
      <c r="G12" s="102" t="s">
        <v>60</v>
      </c>
      <c r="H12" s="101"/>
      <c r="I12" s="109"/>
      <c r="J12" s="112"/>
      <c r="K12" s="109"/>
      <c r="L12" s="109"/>
      <c r="M12" s="115"/>
    </row>
    <row r="13" spans="2:13" ht="27.75" x14ac:dyDescent="0.2">
      <c r="B13" s="93" t="s">
        <v>77</v>
      </c>
      <c r="C13" s="94">
        <v>40183</v>
      </c>
      <c r="D13" s="95">
        <v>20</v>
      </c>
      <c r="E13" s="96" t="s">
        <v>57</v>
      </c>
      <c r="F13" s="97" t="e">
        <f>SUM(#REF!)</f>
        <v>#REF!</v>
      </c>
      <c r="G13" s="102" t="s">
        <v>60</v>
      </c>
      <c r="H13" s="101"/>
      <c r="I13" s="109"/>
      <c r="J13" s="111"/>
      <c r="K13" s="109"/>
      <c r="L13" s="99"/>
      <c r="M13" s="115"/>
    </row>
    <row r="14" spans="2:13" x14ac:dyDescent="0.2">
      <c r="B14" s="93" t="e">
        <f>LOWER(#REF!)</f>
        <v>#REF!</v>
      </c>
      <c r="C14" s="94">
        <v>40071</v>
      </c>
      <c r="D14" s="95">
        <v>15</v>
      </c>
      <c r="E14" s="102" t="s">
        <v>61</v>
      </c>
      <c r="F14" s="97" t="e">
        <f>#REF!</f>
        <v>#REF!</v>
      </c>
      <c r="G14" s="102" t="s">
        <v>79</v>
      </c>
      <c r="H14" s="99"/>
      <c r="I14" s="109"/>
      <c r="J14" s="111"/>
      <c r="K14" s="109"/>
      <c r="L14" s="109"/>
      <c r="M14" s="115"/>
    </row>
    <row r="15" spans="2:13" x14ac:dyDescent="0.2">
      <c r="B15" s="93" t="e">
        <f>LOWER(#REF!)</f>
        <v>#REF!</v>
      </c>
      <c r="C15" s="94">
        <v>40081</v>
      </c>
      <c r="D15" s="95">
        <v>15</v>
      </c>
      <c r="E15" s="102" t="s">
        <v>61</v>
      </c>
      <c r="F15" s="97" t="e">
        <f>#REF!</f>
        <v>#REF!</v>
      </c>
      <c r="G15" s="102" t="s">
        <v>79</v>
      </c>
      <c r="H15" s="96"/>
      <c r="I15" s="99"/>
      <c r="J15" s="111"/>
      <c r="K15" s="109"/>
      <c r="L15" s="109"/>
      <c r="M15" s="115"/>
    </row>
    <row r="16" spans="2:13" x14ac:dyDescent="0.2">
      <c r="B16" s="93" t="e">
        <f>LOWER(#REF!)</f>
        <v>#REF!</v>
      </c>
      <c r="C16" s="94">
        <v>40183</v>
      </c>
      <c r="D16" s="95">
        <v>15</v>
      </c>
      <c r="E16" s="102" t="s">
        <v>61</v>
      </c>
      <c r="F16" s="97" t="e">
        <f>#REF!</f>
        <v>#REF!</v>
      </c>
      <c r="G16" s="102" t="s">
        <v>80</v>
      </c>
      <c r="H16" s="96"/>
      <c r="I16" s="109"/>
      <c r="J16" s="111"/>
      <c r="K16" s="109"/>
      <c r="L16" s="99"/>
      <c r="M16" s="115"/>
    </row>
    <row r="17" spans="2:13" x14ac:dyDescent="0.2">
      <c r="B17" s="93" t="e">
        <f>LOWER(#REF!)</f>
        <v>#REF!</v>
      </c>
      <c r="C17" s="94">
        <v>40087</v>
      </c>
      <c r="D17" s="95">
        <v>60</v>
      </c>
      <c r="E17" s="102" t="s">
        <v>81</v>
      </c>
      <c r="F17" s="97" t="e">
        <f>#REF!</f>
        <v>#REF!</v>
      </c>
      <c r="G17" s="102" t="s">
        <v>60</v>
      </c>
      <c r="H17" s="96"/>
      <c r="I17" s="99"/>
      <c r="J17" s="112"/>
      <c r="K17" s="109"/>
      <c r="L17" s="109"/>
      <c r="M17" s="115"/>
    </row>
    <row r="18" spans="2:13" ht="18.75" x14ac:dyDescent="0.2">
      <c r="B18" s="103" t="s">
        <v>62</v>
      </c>
      <c r="C18" s="94">
        <v>40096</v>
      </c>
      <c r="D18" s="95">
        <v>180</v>
      </c>
      <c r="E18" s="102" t="s">
        <v>57</v>
      </c>
      <c r="F18" s="97" t="e">
        <f>#REF!</f>
        <v>#REF!</v>
      </c>
      <c r="G18" s="98" t="s">
        <v>59</v>
      </c>
      <c r="H18" s="96"/>
      <c r="I18" s="99"/>
      <c r="J18" s="112"/>
      <c r="K18" s="99"/>
      <c r="L18" s="99"/>
      <c r="M18" s="116"/>
    </row>
    <row r="19" spans="2:13" ht="13.5" thickBot="1" x14ac:dyDescent="0.25">
      <c r="B19" s="104" t="s">
        <v>1</v>
      </c>
      <c r="C19" s="105"/>
      <c r="D19" s="106"/>
      <c r="E19" s="106"/>
      <c r="F19" s="107" t="e">
        <f>SUM(F6:F18)</f>
        <v>#REF!</v>
      </c>
      <c r="G19" s="106"/>
      <c r="H19" s="106"/>
      <c r="I19" s="106"/>
      <c r="J19" s="113"/>
      <c r="K19" s="118"/>
      <c r="L19" s="118"/>
      <c r="M19" s="117"/>
    </row>
  </sheetData>
  <mergeCells count="7">
    <mergeCell ref="H3:M3"/>
    <mergeCell ref="B3:B4"/>
    <mergeCell ref="C3:C4"/>
    <mergeCell ref="D3:D4"/>
    <mergeCell ref="E3:E4"/>
    <mergeCell ref="F3:F4"/>
    <mergeCell ref="G3:G4"/>
  </mergeCells>
  <printOptions horizontalCentered="1" verticalCentered="1"/>
  <pageMargins left="0" right="0" top="0" bottom="0" header="0.31496062992125984" footer="0.31496062992125984"/>
  <pageSetup scale="8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EVAL. FINAN.</vt:lpstr>
      <vt:lpstr>Calculo de VAN, TIR, R B-C</vt:lpstr>
      <vt:lpstr>BALANCE GRAL</vt:lpstr>
      <vt:lpstr>CALENDARIO DE INVERSIONES</vt:lpstr>
      <vt:lpstr>'BALANCE GRAL'!Área_de_impresión</vt:lpstr>
      <vt:lpstr>'CALENDARIO DE INVERSIONES'!Área_de_impresión</vt:lpstr>
      <vt:lpstr>'EVAL. FINAN.'!Área_de_impresión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Interaprendizaje</cp:lastModifiedBy>
  <cp:lastPrinted>2010-12-22T02:46:33Z</cp:lastPrinted>
  <dcterms:created xsi:type="dcterms:W3CDTF">2008-01-26T23:50:00Z</dcterms:created>
  <dcterms:modified xsi:type="dcterms:W3CDTF">2017-08-24T19:12:49Z</dcterms:modified>
</cp:coreProperties>
</file>